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pprendista" sheetId="1" r:id="rId1"/>
  </sheets>
  <definedNames>
    <definedName name="_xlnm.Print_Area" localSheetId="0">'apprendista'!$B$1:$I$121</definedName>
  </definedNames>
  <calcPr fullCalcOnLoad="1"/>
</workbook>
</file>

<file path=xl/sharedStrings.xml><?xml version="1.0" encoding="utf-8"?>
<sst xmlns="http://schemas.openxmlformats.org/spreadsheetml/2006/main" count="185" uniqueCount="63">
  <si>
    <t>Retribuzione netta mensile</t>
  </si>
  <si>
    <t>n° mensilità</t>
  </si>
  <si>
    <t>Retribuzione netta annua</t>
  </si>
  <si>
    <t>Retribuzione lorda mese</t>
  </si>
  <si>
    <t>annua</t>
  </si>
  <si>
    <t>Ritenute Previdenziali</t>
  </si>
  <si>
    <t>contrib IVS</t>
  </si>
  <si>
    <t>Totale contrib.</t>
  </si>
  <si>
    <t xml:space="preserve">deduzione teorica </t>
  </si>
  <si>
    <t>IMPONIBILE FISCALE</t>
  </si>
  <si>
    <t>CALCOLO IRPEF DOVUTA</t>
  </si>
  <si>
    <t>irpef netta</t>
  </si>
  <si>
    <t>add.le reg.le base</t>
  </si>
  <si>
    <t>add.le reg.le agg.</t>
  </si>
  <si>
    <t>add.le com.le</t>
  </si>
  <si>
    <t>retribuzione netta annua</t>
  </si>
  <si>
    <t>Riferim.</t>
  </si>
  <si>
    <t xml:space="preserve">Imposta x fascia </t>
  </si>
  <si>
    <t>Imp. progressiva</t>
  </si>
  <si>
    <r>
      <t xml:space="preserve">irpef lorda                      </t>
    </r>
    <r>
      <rPr>
        <b/>
        <sz val="9"/>
        <color indexed="12"/>
        <rFont val="Arial"/>
        <family val="2"/>
      </rPr>
      <t xml:space="preserve"> su</t>
    </r>
  </si>
  <si>
    <t xml:space="preserve">Fasce di reddito Annuali </t>
  </si>
  <si>
    <t xml:space="preserve">Fasce di reddito Mensili </t>
  </si>
  <si>
    <t>CALCOLO DEDUZIONE</t>
  </si>
  <si>
    <t>detrazioni IRPEF</t>
  </si>
  <si>
    <t>A) Reddito lordo annuo</t>
  </si>
  <si>
    <t>(A+B)</t>
  </si>
  <si>
    <t xml:space="preserve">B) Reddito presunto annuo </t>
  </si>
  <si>
    <t>LAZIO</t>
  </si>
  <si>
    <t>TFR</t>
  </si>
  <si>
    <t>assunzione</t>
  </si>
  <si>
    <t>add.le reg.le agg. Presunta 2010</t>
  </si>
  <si>
    <t>contrib IVS agg.vo</t>
  </si>
  <si>
    <t>acconto add.le com.le</t>
  </si>
  <si>
    <t>30% com.le A.P.</t>
  </si>
  <si>
    <t>ctr INPS</t>
  </si>
  <si>
    <t>Lordo annuo</t>
  </si>
  <si>
    <t>tot. Costo az.</t>
  </si>
  <si>
    <t>ROMA</t>
  </si>
  <si>
    <t>CONTRIBUTO</t>
  </si>
  <si>
    <t>paga base</t>
  </si>
  <si>
    <t>conting.</t>
  </si>
  <si>
    <t>CALCOLO RETRIBUZIONE LORDA - NETTA ANNUA 2013</t>
  </si>
  <si>
    <r>
      <t xml:space="preserve">FULL TIME </t>
    </r>
    <r>
      <rPr>
        <b/>
        <sz val="10"/>
        <color indexed="10"/>
        <rFont val="Arial"/>
        <family val="2"/>
      </rPr>
      <t>INDETERMINATO</t>
    </r>
  </si>
  <si>
    <r>
      <t xml:space="preserve">FULL TIME </t>
    </r>
    <r>
      <rPr>
        <b/>
        <sz val="10"/>
        <color indexed="10"/>
        <rFont val="Arial"/>
        <family val="2"/>
      </rPr>
      <t>APPRENDISTATO</t>
    </r>
  </si>
  <si>
    <t>Ass. Sanitaria</t>
  </si>
  <si>
    <t>sgravio 2018</t>
  </si>
  <si>
    <t>Si INAIL - SI computo disabili - agevolazione 36 mesi</t>
  </si>
  <si>
    <t>No INAIL - No computo disabili - agevolazione minima 48 mesi (36 + 12)</t>
  </si>
  <si>
    <r>
      <t xml:space="preserve">PART TIME </t>
    </r>
    <r>
      <rPr>
        <b/>
        <sz val="10"/>
        <color indexed="10"/>
        <rFont val="Arial"/>
        <family val="2"/>
      </rPr>
      <t>INDETERMINATO 60%</t>
    </r>
  </si>
  <si>
    <r>
      <t xml:space="preserve">PART TIME </t>
    </r>
    <r>
      <rPr>
        <b/>
        <sz val="10"/>
        <color indexed="10"/>
        <rFont val="Arial"/>
        <family val="2"/>
      </rPr>
      <t>APPRENDISTATO 60%</t>
    </r>
  </si>
  <si>
    <t xml:space="preserve">RISPARMIO </t>
  </si>
  <si>
    <t>APPRENDISTATO</t>
  </si>
  <si>
    <t>Nessun rischio di revoca per mancato rispetto comma 1175, art. 1, L. 296/2006</t>
  </si>
  <si>
    <t>Servizi mortuari.</t>
  </si>
  <si>
    <t>Personale di servizio dei cimiteri.</t>
  </si>
  <si>
    <t>Imprese di pompe funebri.</t>
  </si>
  <si>
    <t>INAIL</t>
  </si>
  <si>
    <t>Premio</t>
  </si>
  <si>
    <t xml:space="preserve">Premio </t>
  </si>
  <si>
    <t>Possibilità di sottoinquadrare di due livelli il lavoratore e di utilizzare retribuzioni tabellari più basse all'inizio del rapporto</t>
  </si>
  <si>
    <t>under 35 per il solo 2018 - solo under 30 dal 2019</t>
  </si>
  <si>
    <t>LEGGE DI BILANCIO 2018 - ART. 1 commi 100-108 e commi 893 e 894</t>
  </si>
  <si>
    <t>L. 205/2017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</si>
</sst>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.00_)&quot;L.&quot;_ ;_ * \(#,##0.00\)&quot;L.&quot;_ ;_ * &quot;-&quot;??_)&quot;L.&quot;_ ;_ @_ "/>
    <numFmt numFmtId="173" formatCode="_ * #,##0.00_)_L_._ ;_ * \(#,##0.00\)_L_._ ;_ * &quot;-&quot;??_)_L_._ ;_ @_ "/>
    <numFmt numFmtId="174" formatCode="_-[$€-410]\ * #,##0.00_-;\-[$€-410]\ * #,##0.00_-;_-[$€-410]\ * &quot;-&quot;??_-;_-@_-"/>
    <numFmt numFmtId="175" formatCode="_-* #,##0.00\ [$€-410]_-;\-* #,##0.00\ [$€-410]_-;_-* &quot;-&quot;??\ [$€-410]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/>
      <bottom style="double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18"/>
      </top>
      <bottom style="medium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22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5" fillId="0" borderId="0" xfId="0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3" fontId="7" fillId="23" borderId="11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 quotePrefix="1">
      <alignment horizontal="center" vertical="center" wrapText="1"/>
    </xf>
    <xf numFmtId="37" fontId="8" fillId="23" borderId="13" xfId="0" applyNumberFormat="1" applyFont="1" applyFill="1" applyBorder="1" applyAlignment="1">
      <alignment horizontal="center"/>
    </xf>
    <xf numFmtId="37" fontId="8" fillId="23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7" fontId="8" fillId="23" borderId="1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/>
    </xf>
    <xf numFmtId="37" fontId="8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4" fontId="4" fillId="0" borderId="0" xfId="0" applyNumberFormat="1" applyFont="1" applyAlignment="1" applyProtection="1">
      <alignment horizontal="center"/>
      <protection hidden="1"/>
    </xf>
    <xf numFmtId="3" fontId="3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22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4" fillId="22" borderId="17" xfId="0" applyNumberFormat="1" applyFont="1" applyFill="1" applyBorder="1" applyAlignment="1">
      <alignment horizontal="center"/>
    </xf>
    <xf numFmtId="10" fontId="4" fillId="22" borderId="11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 applyBorder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9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0" fontId="32" fillId="0" borderId="0" xfId="0" applyNumberFormat="1" applyFont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9" fontId="3" fillId="0" borderId="0" xfId="48" applyFont="1" applyAlignment="1">
      <alignment horizontal="center"/>
    </xf>
    <xf numFmtId="4" fontId="32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8" fillId="6" borderId="13" xfId="0" applyNumberFormat="1" applyFont="1" applyFill="1" applyBorder="1" applyAlignment="1">
      <alignment horizontal="center"/>
    </xf>
    <xf numFmtId="10" fontId="8" fillId="23" borderId="13" xfId="0" applyNumberFormat="1" applyFont="1" applyFill="1" applyBorder="1" applyAlignment="1">
      <alignment horizontal="center"/>
    </xf>
    <xf numFmtId="4" fontId="8" fillId="4" borderId="13" xfId="0" applyNumberFormat="1" applyFont="1" applyFill="1" applyBorder="1" applyAlignment="1">
      <alignment horizontal="center"/>
    </xf>
    <xf numFmtId="4" fontId="8" fillId="6" borderId="14" xfId="0" applyNumberFormat="1" applyFont="1" applyFill="1" applyBorder="1" applyAlignment="1">
      <alignment horizontal="center"/>
    </xf>
    <xf numFmtId="10" fontId="8" fillId="23" borderId="14" xfId="0" applyNumberFormat="1" applyFont="1" applyFill="1" applyBorder="1" applyAlignment="1">
      <alignment horizontal="center"/>
    </xf>
    <xf numFmtId="4" fontId="8" fillId="4" borderId="14" xfId="0" applyNumberFormat="1" applyFont="1" applyFill="1" applyBorder="1" applyAlignment="1">
      <alignment horizontal="center"/>
    </xf>
    <xf numFmtId="4" fontId="8" fillId="6" borderId="10" xfId="0" applyNumberFormat="1" applyFont="1" applyFill="1" applyBorder="1" applyAlignment="1">
      <alignment horizontal="center"/>
    </xf>
    <xf numFmtId="10" fontId="8" fillId="23" borderId="10" xfId="0" applyNumberFormat="1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175" fontId="0" fillId="0" borderId="0" xfId="0" applyNumberFormat="1" applyFont="1" applyAlignment="1">
      <alignment horizontal="center"/>
    </xf>
    <xf numFmtId="0" fontId="11" fillId="6" borderId="20" xfId="0" applyFont="1" applyFill="1" applyBorder="1" applyAlignment="1">
      <alignment/>
    </xf>
    <xf numFmtId="10" fontId="0" fillId="6" borderId="21" xfId="0" applyNumberFormat="1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/>
    </xf>
    <xf numFmtId="0" fontId="0" fillId="6" borderId="19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4" fontId="0" fillId="6" borderId="25" xfId="0" applyNumberFormat="1" applyFont="1" applyFill="1" applyBorder="1" applyAlignment="1">
      <alignment/>
    </xf>
    <xf numFmtId="173" fontId="0" fillId="6" borderId="26" xfId="43" applyNumberFormat="1" applyFont="1" applyFill="1" applyBorder="1" applyAlignment="1">
      <alignment horizontal="center"/>
    </xf>
    <xf numFmtId="174" fontId="11" fillId="6" borderId="27" xfId="59" applyNumberFormat="1" applyFont="1" applyFill="1" applyBorder="1" applyAlignment="1">
      <alignment horizontal="center"/>
    </xf>
    <xf numFmtId="0" fontId="11" fillId="7" borderId="20" xfId="0" applyFont="1" applyFill="1" applyBorder="1" applyAlignment="1">
      <alignment/>
    </xf>
    <xf numFmtId="10" fontId="0" fillId="7" borderId="21" xfId="0" applyNumberFormat="1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0" fontId="0" fillId="7" borderId="23" xfId="0" applyFont="1" applyFill="1" applyBorder="1" applyAlignment="1">
      <alignment/>
    </xf>
    <xf numFmtId="0" fontId="0" fillId="7" borderId="19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/>
    </xf>
    <xf numFmtId="4" fontId="0" fillId="7" borderId="25" xfId="0" applyNumberFormat="1" applyFont="1" applyFill="1" applyBorder="1" applyAlignment="1">
      <alignment/>
    </xf>
    <xf numFmtId="173" fontId="0" fillId="7" borderId="26" xfId="43" applyNumberFormat="1" applyFont="1" applyFill="1" applyBorder="1" applyAlignment="1">
      <alignment horizontal="center"/>
    </xf>
    <xf numFmtId="174" fontId="11" fillId="7" borderId="27" xfId="59" applyNumberFormat="1" applyFont="1" applyFill="1" applyBorder="1" applyAlignment="1">
      <alignment horizontal="center"/>
    </xf>
    <xf numFmtId="4" fontId="0" fillId="6" borderId="19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4" borderId="20" xfId="0" applyFont="1" applyFill="1" applyBorder="1" applyAlignment="1">
      <alignment/>
    </xf>
    <xf numFmtId="10" fontId="0" fillId="4" borderId="21" xfId="0" applyNumberFormat="1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/>
    </xf>
    <xf numFmtId="0" fontId="0" fillId="4" borderId="19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4" fontId="0" fillId="4" borderId="25" xfId="0" applyNumberFormat="1" applyFont="1" applyFill="1" applyBorder="1" applyAlignment="1">
      <alignment/>
    </xf>
    <xf numFmtId="173" fontId="0" fillId="4" borderId="26" xfId="43" applyNumberFormat="1" applyFont="1" applyFill="1" applyBorder="1" applyAlignment="1">
      <alignment horizontal="center"/>
    </xf>
    <xf numFmtId="174" fontId="11" fillId="4" borderId="27" xfId="59" applyNumberFormat="1" applyFont="1" applyFill="1" applyBorder="1" applyAlignment="1">
      <alignment horizontal="center"/>
    </xf>
    <xf numFmtId="0" fontId="11" fillId="10" borderId="20" xfId="0" applyFont="1" applyFill="1" applyBorder="1" applyAlignment="1">
      <alignment/>
    </xf>
    <xf numFmtId="10" fontId="0" fillId="10" borderId="21" xfId="0" applyNumberFormat="1" applyFont="1" applyFill="1" applyBorder="1" applyAlignment="1">
      <alignment horizontal="center"/>
    </xf>
    <xf numFmtId="0" fontId="0" fillId="10" borderId="21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/>
    </xf>
    <xf numFmtId="0" fontId="0" fillId="10" borderId="23" xfId="0" applyFont="1" applyFill="1" applyBorder="1" applyAlignment="1">
      <alignment/>
    </xf>
    <xf numFmtId="0" fontId="0" fillId="10" borderId="19" xfId="0" applyFont="1" applyFill="1" applyBorder="1" applyAlignment="1">
      <alignment horizontal="center"/>
    </xf>
    <xf numFmtId="175" fontId="0" fillId="10" borderId="19" xfId="0" applyNumberFormat="1" applyFont="1" applyFill="1" applyBorder="1" applyAlignment="1">
      <alignment horizontal="center"/>
    </xf>
    <xf numFmtId="0" fontId="9" fillId="10" borderId="24" xfId="0" applyFont="1" applyFill="1" applyBorder="1" applyAlignment="1">
      <alignment horizontal="center"/>
    </xf>
    <xf numFmtId="4" fontId="0" fillId="10" borderId="25" xfId="0" applyNumberFormat="1" applyFont="1" applyFill="1" applyBorder="1" applyAlignment="1">
      <alignment/>
    </xf>
    <xf numFmtId="173" fontId="0" fillId="10" borderId="26" xfId="43" applyNumberFormat="1" applyFont="1" applyFill="1" applyBorder="1" applyAlignment="1">
      <alignment horizontal="center"/>
    </xf>
    <xf numFmtId="174" fontId="11" fillId="10" borderId="27" xfId="59" applyNumberFormat="1" applyFont="1" applyFill="1" applyBorder="1" applyAlignment="1">
      <alignment horizontal="center"/>
    </xf>
    <xf numFmtId="4" fontId="0" fillId="4" borderId="19" xfId="0" applyNumberFormat="1" applyFont="1" applyFill="1" applyBorder="1" applyAlignment="1">
      <alignment horizontal="center"/>
    </xf>
    <xf numFmtId="4" fontId="0" fillId="7" borderId="19" xfId="0" applyNumberFormat="1" applyFont="1" applyFill="1" applyBorder="1" applyAlignment="1">
      <alignment horizontal="center"/>
    </xf>
    <xf numFmtId="0" fontId="9" fillId="24" borderId="22" xfId="0" applyFont="1" applyFill="1" applyBorder="1" applyAlignment="1">
      <alignment horizontal="center"/>
    </xf>
    <xf numFmtId="0" fontId="9" fillId="24" borderId="24" xfId="0" applyFont="1" applyFill="1" applyBorder="1" applyAlignment="1">
      <alignment horizontal="center"/>
    </xf>
    <xf numFmtId="174" fontId="11" fillId="24" borderId="27" xfId="59" applyNumberFormat="1" applyFont="1" applyFill="1" applyBorder="1" applyAlignment="1">
      <alignment horizontal="center"/>
    </xf>
    <xf numFmtId="175" fontId="13" fillId="24" borderId="28" xfId="0" applyNumberFormat="1" applyFont="1" applyFill="1" applyBorder="1" applyAlignment="1">
      <alignment horizontal="center"/>
    </xf>
    <xf numFmtId="0" fontId="11" fillId="11" borderId="20" xfId="0" applyFont="1" applyFill="1" applyBorder="1" applyAlignment="1">
      <alignment/>
    </xf>
    <xf numFmtId="10" fontId="0" fillId="11" borderId="21" xfId="0" applyNumberFormat="1" applyFont="1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9" fillId="11" borderId="22" xfId="0" applyFont="1" applyFill="1" applyBorder="1" applyAlignment="1">
      <alignment horizontal="center"/>
    </xf>
    <xf numFmtId="0" fontId="0" fillId="11" borderId="23" xfId="0" applyFont="1" applyFill="1" applyBorder="1" applyAlignment="1">
      <alignment/>
    </xf>
    <xf numFmtId="0" fontId="0" fillId="11" borderId="19" xfId="0" applyFont="1" applyFill="1" applyBorder="1" applyAlignment="1">
      <alignment horizontal="center"/>
    </xf>
    <xf numFmtId="175" fontId="0" fillId="11" borderId="19" xfId="0" applyNumberFormat="1" applyFont="1" applyFill="1" applyBorder="1" applyAlignment="1">
      <alignment horizontal="center"/>
    </xf>
    <xf numFmtId="0" fontId="9" fillId="11" borderId="24" xfId="0" applyFont="1" applyFill="1" applyBorder="1" applyAlignment="1">
      <alignment horizontal="center"/>
    </xf>
    <xf numFmtId="4" fontId="0" fillId="11" borderId="25" xfId="0" applyNumberFormat="1" applyFont="1" applyFill="1" applyBorder="1" applyAlignment="1">
      <alignment/>
    </xf>
    <xf numFmtId="173" fontId="0" fillId="11" borderId="26" xfId="43" applyNumberFormat="1" applyFont="1" applyFill="1" applyBorder="1" applyAlignment="1">
      <alignment horizontal="center"/>
    </xf>
    <xf numFmtId="174" fontId="11" fillId="11" borderId="27" xfId="59" applyNumberFormat="1" applyFont="1" applyFill="1" applyBorder="1" applyAlignment="1">
      <alignment horizontal="center"/>
    </xf>
    <xf numFmtId="0" fontId="11" fillId="8" borderId="20" xfId="0" applyFont="1" applyFill="1" applyBorder="1" applyAlignment="1">
      <alignment/>
    </xf>
    <xf numFmtId="10" fontId="0" fillId="8" borderId="21" xfId="0" applyNumberFormat="1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9" fillId="8" borderId="22" xfId="0" applyFont="1" applyFill="1" applyBorder="1" applyAlignment="1">
      <alignment horizontal="center"/>
    </xf>
    <xf numFmtId="0" fontId="0" fillId="8" borderId="23" xfId="0" applyFont="1" applyFill="1" applyBorder="1" applyAlignment="1">
      <alignment/>
    </xf>
    <xf numFmtId="0" fontId="0" fillId="8" borderId="19" xfId="0" applyFont="1" applyFill="1" applyBorder="1" applyAlignment="1">
      <alignment horizontal="center"/>
    </xf>
    <xf numFmtId="175" fontId="0" fillId="8" borderId="19" xfId="0" applyNumberFormat="1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/>
    </xf>
    <xf numFmtId="4" fontId="0" fillId="8" borderId="25" xfId="0" applyNumberFormat="1" applyFont="1" applyFill="1" applyBorder="1" applyAlignment="1">
      <alignment/>
    </xf>
    <xf numFmtId="173" fontId="0" fillId="8" borderId="26" xfId="43" applyNumberFormat="1" applyFont="1" applyFill="1" applyBorder="1" applyAlignment="1">
      <alignment horizontal="center"/>
    </xf>
    <xf numFmtId="174" fontId="11" fillId="8" borderId="27" xfId="59" applyNumberFormat="1" applyFont="1" applyFill="1" applyBorder="1" applyAlignment="1">
      <alignment horizontal="center"/>
    </xf>
    <xf numFmtId="0" fontId="33" fillId="0" borderId="29" xfId="0" applyFont="1" applyBorder="1" applyAlignment="1">
      <alignment horizontal="center" vertical="top" wrapText="1"/>
    </xf>
    <xf numFmtId="0" fontId="33" fillId="0" borderId="29" xfId="0" applyFont="1" applyBorder="1" applyAlignment="1">
      <alignment horizontal="left" vertical="top" wrapText="1"/>
    </xf>
    <xf numFmtId="0" fontId="34" fillId="0" borderId="29" xfId="0" applyFont="1" applyBorder="1" applyAlignment="1">
      <alignment horizontal="center" vertical="top" wrapText="1"/>
    </xf>
    <xf numFmtId="0" fontId="34" fillId="0" borderId="29" xfId="0" applyFont="1" applyBorder="1" applyAlignment="1">
      <alignment horizontal="left" vertical="top" wrapText="1"/>
    </xf>
    <xf numFmtId="4" fontId="4" fillId="22" borderId="0" xfId="0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vertical="top" wrapText="1"/>
    </xf>
    <xf numFmtId="0" fontId="34" fillId="0" borderId="0" xfId="0" applyFont="1" applyBorder="1" applyAlignment="1">
      <alignment horizontal="center" vertical="top" wrapText="1"/>
    </xf>
    <xf numFmtId="173" fontId="0" fillId="24" borderId="26" xfId="43" applyNumberFormat="1" applyFont="1" applyFill="1" applyBorder="1" applyAlignment="1">
      <alignment horizontal="center"/>
    </xf>
    <xf numFmtId="0" fontId="11" fillId="0" borderId="29" xfId="0" applyFont="1" applyBorder="1" applyAlignment="1">
      <alignment vertical="top" wrapText="1"/>
    </xf>
    <xf numFmtId="4" fontId="5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22" borderId="17" xfId="0" applyNumberFormat="1" applyFont="1" applyFill="1" applyBorder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4" fontId="5" fillId="0" borderId="19" xfId="0" applyNumberFormat="1" applyFont="1" applyBorder="1" applyAlignment="1" applyProtection="1">
      <alignment/>
      <protection hidden="1"/>
    </xf>
    <xf numFmtId="4" fontId="35" fillId="0" borderId="0" xfId="0" applyNumberFormat="1" applyFont="1" applyAlignment="1">
      <alignment/>
    </xf>
    <xf numFmtId="0" fontId="14" fillId="0" borderId="0" xfId="0" applyFont="1" applyAlignment="1">
      <alignment/>
    </xf>
    <xf numFmtId="4" fontId="7" fillId="6" borderId="13" xfId="0" applyNumberFormat="1" applyFont="1" applyFill="1" applyBorder="1" applyAlignment="1">
      <alignment/>
    </xf>
    <xf numFmtId="4" fontId="7" fillId="6" borderId="14" xfId="0" applyNumberFormat="1" applyFont="1" applyFill="1" applyBorder="1" applyAlignment="1">
      <alignment/>
    </xf>
    <xf numFmtId="4" fontId="7" fillId="6" borderId="1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8" borderId="21" xfId="0" applyFont="1" applyFill="1" applyBorder="1" applyAlignment="1">
      <alignment/>
    </xf>
    <xf numFmtId="175" fontId="11" fillId="8" borderId="19" xfId="0" applyNumberFormat="1" applyFont="1" applyFill="1" applyBorder="1" applyAlignment="1">
      <alignment/>
    </xf>
    <xf numFmtId="173" fontId="11" fillId="8" borderId="26" xfId="43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0" fontId="11" fillId="6" borderId="21" xfId="0" applyFont="1" applyFill="1" applyBorder="1" applyAlignment="1">
      <alignment/>
    </xf>
    <xf numFmtId="4" fontId="11" fillId="6" borderId="19" xfId="0" applyNumberFormat="1" applyFont="1" applyFill="1" applyBorder="1" applyAlignment="1">
      <alignment/>
    </xf>
    <xf numFmtId="173" fontId="11" fillId="6" borderId="26" xfId="43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10" borderId="21" xfId="0" applyFont="1" applyFill="1" applyBorder="1" applyAlignment="1">
      <alignment/>
    </xf>
    <xf numFmtId="175" fontId="11" fillId="10" borderId="19" xfId="0" applyNumberFormat="1" applyFont="1" applyFill="1" applyBorder="1" applyAlignment="1">
      <alignment/>
    </xf>
    <xf numFmtId="173" fontId="11" fillId="10" borderId="26" xfId="43" applyNumberFormat="1" applyFont="1" applyFill="1" applyBorder="1" applyAlignment="1">
      <alignment/>
    </xf>
    <xf numFmtId="0" fontId="11" fillId="4" borderId="21" xfId="0" applyFont="1" applyFill="1" applyBorder="1" applyAlignment="1">
      <alignment/>
    </xf>
    <xf numFmtId="4" fontId="11" fillId="4" borderId="19" xfId="0" applyNumberFormat="1" applyFont="1" applyFill="1" applyBorder="1" applyAlignment="1">
      <alignment/>
    </xf>
    <xf numFmtId="173" fontId="11" fillId="4" borderId="26" xfId="43" applyNumberFormat="1" applyFont="1" applyFill="1" applyBorder="1" applyAlignment="1">
      <alignment/>
    </xf>
    <xf numFmtId="0" fontId="11" fillId="11" borderId="21" xfId="0" applyFont="1" applyFill="1" applyBorder="1" applyAlignment="1">
      <alignment/>
    </xf>
    <xf numFmtId="175" fontId="11" fillId="11" borderId="19" xfId="0" applyNumberFormat="1" applyFont="1" applyFill="1" applyBorder="1" applyAlignment="1">
      <alignment/>
    </xf>
    <xf numFmtId="173" fontId="11" fillId="11" borderId="26" xfId="43" applyNumberFormat="1" applyFont="1" applyFill="1" applyBorder="1" applyAlignment="1">
      <alignment/>
    </xf>
    <xf numFmtId="0" fontId="11" fillId="7" borderId="21" xfId="0" applyFont="1" applyFill="1" applyBorder="1" applyAlignment="1">
      <alignment/>
    </xf>
    <xf numFmtId="4" fontId="11" fillId="7" borderId="19" xfId="0" applyNumberFormat="1" applyFont="1" applyFill="1" applyBorder="1" applyAlignment="1">
      <alignment/>
    </xf>
    <xf numFmtId="173" fontId="11" fillId="7" borderId="26" xfId="43" applyNumberFormat="1" applyFont="1" applyFill="1" applyBorder="1" applyAlignment="1">
      <alignment/>
    </xf>
    <xf numFmtId="0" fontId="33" fillId="0" borderId="29" xfId="0" applyFont="1" applyBorder="1" applyAlignment="1">
      <alignment vertical="top" wrapText="1"/>
    </xf>
    <xf numFmtId="175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4" fontId="15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5" xfId="0" applyFont="1" applyBorder="1" applyAlignment="1">
      <alignment/>
    </xf>
    <xf numFmtId="0" fontId="4" fillId="22" borderId="16" xfId="0" applyFont="1" applyFill="1" applyBorder="1" applyAlignment="1">
      <alignment horizontal="center"/>
    </xf>
    <xf numFmtId="0" fontId="4" fillId="22" borderId="30" xfId="0" applyFont="1" applyFill="1" applyBorder="1" applyAlignment="1">
      <alignment horizontal="center"/>
    </xf>
    <xf numFmtId="0" fontId="4" fillId="22" borderId="15" xfId="0" applyFont="1" applyFill="1" applyBorder="1" applyAlignment="1">
      <alignment horizontal="center"/>
    </xf>
    <xf numFmtId="3" fontId="7" fillId="6" borderId="31" xfId="0" applyNumberFormat="1" applyFont="1" applyFill="1" applyBorder="1" applyAlignment="1">
      <alignment horizontal="center" vertical="center" wrapText="1"/>
    </xf>
    <xf numFmtId="3" fontId="7" fillId="6" borderId="32" xfId="0" applyNumberFormat="1" applyFont="1" applyFill="1" applyBorder="1" applyAlignment="1">
      <alignment horizontal="center" vertical="center" wrapText="1"/>
    </xf>
    <xf numFmtId="3" fontId="7" fillId="6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29"/>
  <sheetViews>
    <sheetView showGridLines="0" tabSelected="1" zoomScalePageLayoutView="0" workbookViewId="0" topLeftCell="A50">
      <selection activeCell="O70" sqref="O70"/>
    </sheetView>
  </sheetViews>
  <sheetFormatPr defaultColWidth="9.140625" defaultRowHeight="12.75"/>
  <cols>
    <col min="1" max="1" width="9.140625" style="18" customWidth="1"/>
    <col min="2" max="2" width="32.28125" style="18" customWidth="1"/>
    <col min="3" max="3" width="15.57421875" style="49" customWidth="1"/>
    <col min="4" max="4" width="14.7109375" style="168" bestFit="1" customWidth="1"/>
    <col min="5" max="5" width="11.28125" style="50" customWidth="1"/>
    <col min="6" max="6" width="11.8515625" style="50" customWidth="1"/>
    <col min="7" max="7" width="13.8515625" style="49" customWidth="1"/>
    <col min="8" max="8" width="17.57421875" style="49" customWidth="1"/>
    <col min="9" max="9" width="17.7109375" style="49" bestFit="1" customWidth="1"/>
    <col min="10" max="10" width="8.8515625" style="18" bestFit="1" customWidth="1"/>
    <col min="11" max="11" width="7.8515625" style="18" bestFit="1" customWidth="1"/>
    <col min="12" max="12" width="4.8515625" style="20" customWidth="1"/>
    <col min="13" max="13" width="8.28125" style="18" customWidth="1"/>
    <col min="14" max="14" width="7.140625" style="18" customWidth="1"/>
    <col min="15" max="15" width="11.57421875" style="18" customWidth="1"/>
    <col min="16" max="16" width="7.8515625" style="18" bestFit="1" customWidth="1"/>
    <col min="17" max="17" width="3.00390625" style="18" customWidth="1"/>
    <col min="18" max="16384" width="9.140625" style="18" customWidth="1"/>
  </cols>
  <sheetData>
    <row r="1" spans="2:12" s="1" customFormat="1" ht="12.75" hidden="1">
      <c r="B1" s="195" t="s">
        <v>41</v>
      </c>
      <c r="C1" s="195"/>
      <c r="D1" s="195"/>
      <c r="E1" s="195"/>
      <c r="F1" s="195"/>
      <c r="G1" s="37" t="s">
        <v>39</v>
      </c>
      <c r="H1" s="37" t="e">
        <f>+#REF!</f>
        <v>#REF!</v>
      </c>
      <c r="I1" s="37">
        <v>92147</v>
      </c>
      <c r="L1" s="31"/>
    </row>
    <row r="2" spans="2:13" s="1" customFormat="1" ht="13.5" hidden="1" thickBot="1">
      <c r="B2" s="33"/>
      <c r="C2" s="37"/>
      <c r="D2" s="154"/>
      <c r="E2" s="52"/>
      <c r="F2" s="52"/>
      <c r="G2" s="37" t="s">
        <v>40</v>
      </c>
      <c r="H2" s="52">
        <v>521.94</v>
      </c>
      <c r="I2" s="37">
        <v>42364</v>
      </c>
      <c r="L2" s="31"/>
      <c r="M2" s="1">
        <f>168*12</f>
        <v>2016</v>
      </c>
    </row>
    <row r="3" spans="2:13" s="1" customFormat="1" ht="13.5" customHeight="1" hidden="1" thickBot="1">
      <c r="B3" s="196" t="s">
        <v>0</v>
      </c>
      <c r="C3" s="197"/>
      <c r="D3" s="198"/>
      <c r="E3" s="35"/>
      <c r="F3" s="38">
        <f>(F5/C4)</f>
        <v>982.42296</v>
      </c>
      <c r="G3" s="52"/>
      <c r="H3" s="37">
        <v>2.07</v>
      </c>
      <c r="I3" s="37">
        <f>+I1-I2</f>
        <v>49783</v>
      </c>
      <c r="L3" s="2"/>
      <c r="M3" s="1">
        <f>25*52</f>
        <v>1300</v>
      </c>
    </row>
    <row r="4" spans="2:15" s="1" customFormat="1" ht="12.75" hidden="1" thickBot="1">
      <c r="B4" s="1" t="s">
        <v>1</v>
      </c>
      <c r="C4" s="3">
        <v>14</v>
      </c>
      <c r="D4" s="154"/>
      <c r="E4" s="52"/>
      <c r="F4" s="52"/>
      <c r="G4" s="52"/>
      <c r="H4" s="53" t="str">
        <f>+D96</f>
        <v>sgravio 2018</v>
      </c>
      <c r="I4" s="37">
        <f>+I3*1%</f>
        <v>497.83</v>
      </c>
      <c r="L4" s="2"/>
      <c r="M4" s="11">
        <f>+M3/M2*100</f>
        <v>64.48412698412699</v>
      </c>
      <c r="O4" s="2"/>
    </row>
    <row r="5" spans="2:9" s="1" customFormat="1" ht="12.75" hidden="1" thickBot="1">
      <c r="B5" s="1" t="s">
        <v>2</v>
      </c>
      <c r="C5" s="37"/>
      <c r="D5" s="154"/>
      <c r="E5" s="52"/>
      <c r="F5" s="38">
        <f>F33</f>
        <v>13753.92144</v>
      </c>
      <c r="G5" s="52"/>
      <c r="H5" s="45" t="e">
        <f>+H4*14</f>
        <v>#VALUE!</v>
      </c>
      <c r="I5" s="37"/>
    </row>
    <row r="6" spans="3:9" s="1" customFormat="1" ht="12.75" hidden="1" thickBot="1">
      <c r="C6" s="37"/>
      <c r="D6" s="154"/>
      <c r="E6" s="52"/>
      <c r="F6" s="52"/>
      <c r="G6" s="52"/>
      <c r="H6" s="37"/>
      <c r="I6" s="37"/>
    </row>
    <row r="7" spans="2:9" s="1" customFormat="1" ht="12.75" hidden="1" thickBot="1">
      <c r="B7" s="34" t="s">
        <v>3</v>
      </c>
      <c r="C7" s="38">
        <f>+F7/C4</f>
        <v>1285.7142857142858</v>
      </c>
      <c r="D7" s="155" t="s">
        <v>4</v>
      </c>
      <c r="E7" s="22"/>
      <c r="F7" s="38">
        <v>18000</v>
      </c>
      <c r="G7" s="52"/>
      <c r="H7" s="37"/>
      <c r="I7" s="37"/>
    </row>
    <row r="8" spans="2:9" s="1" customFormat="1" ht="12" hidden="1">
      <c r="B8" s="4" t="s">
        <v>5</v>
      </c>
      <c r="C8" s="5"/>
      <c r="D8" s="156"/>
      <c r="E8" s="54"/>
      <c r="F8" s="54"/>
      <c r="G8" s="52"/>
      <c r="H8" s="37"/>
      <c r="I8" s="52">
        <f>55000</f>
        <v>55000</v>
      </c>
    </row>
    <row r="9" spans="2:17" s="1" customFormat="1" ht="13.5" customHeight="1" hidden="1">
      <c r="B9" s="6" t="s">
        <v>6</v>
      </c>
      <c r="C9" s="39">
        <v>0.0584</v>
      </c>
      <c r="D9" s="154"/>
      <c r="E9" s="52"/>
      <c r="F9" s="54">
        <f>F7*C9</f>
        <v>1051.2</v>
      </c>
      <c r="G9" s="52"/>
      <c r="H9" s="37"/>
      <c r="I9" s="52">
        <f>F15</f>
        <v>16948.8</v>
      </c>
      <c r="Q9" s="7"/>
    </row>
    <row r="10" spans="2:9" s="1" customFormat="1" ht="12" hidden="1">
      <c r="B10" s="6" t="s">
        <v>31</v>
      </c>
      <c r="C10" s="39">
        <v>0.01</v>
      </c>
      <c r="D10" s="154"/>
      <c r="E10" s="52"/>
      <c r="F10" s="54">
        <f>IF(F7&gt;42364,((92147-42364)*C10),0)</f>
        <v>0</v>
      </c>
      <c r="G10" s="52"/>
      <c r="H10" s="37"/>
      <c r="I10" s="52">
        <f>I8-I9</f>
        <v>38051.2</v>
      </c>
    </row>
    <row r="11" spans="2:12" s="1" customFormat="1" ht="12" hidden="1">
      <c r="B11" s="6"/>
      <c r="C11" s="40"/>
      <c r="D11" s="154"/>
      <c r="E11" s="52"/>
      <c r="F11" s="54">
        <f>F7*C11</f>
        <v>0</v>
      </c>
      <c r="G11" s="52"/>
      <c r="H11" s="52"/>
      <c r="I11" s="52">
        <f>40000</f>
        <v>40000</v>
      </c>
      <c r="L11" s="2"/>
    </row>
    <row r="12" spans="2:12" s="1" customFormat="1" ht="12" hidden="1">
      <c r="B12" s="9"/>
      <c r="C12" s="41"/>
      <c r="D12" s="156"/>
      <c r="E12" s="54"/>
      <c r="F12" s="55">
        <v>0</v>
      </c>
      <c r="G12" s="52"/>
      <c r="H12" s="52"/>
      <c r="I12" s="37">
        <f>(I10/40000)</f>
        <v>0.9512799999999999</v>
      </c>
      <c r="L12" s="2"/>
    </row>
    <row r="13" spans="2:12" s="1" customFormat="1" ht="12" hidden="1">
      <c r="B13" s="1" t="s">
        <v>7</v>
      </c>
      <c r="C13" s="40"/>
      <c r="D13" s="154"/>
      <c r="E13" s="52"/>
      <c r="F13" s="54">
        <f>F9+F10+F11+F12</f>
        <v>1051.2</v>
      </c>
      <c r="G13" s="52"/>
      <c r="H13" s="52"/>
      <c r="I13" s="52">
        <v>1338</v>
      </c>
      <c r="L13" s="2"/>
    </row>
    <row r="14" spans="2:19" s="1" customFormat="1" ht="12" hidden="1">
      <c r="B14" s="10" t="s">
        <v>24</v>
      </c>
      <c r="C14" s="21">
        <f>F7-F13</f>
        <v>16948.8</v>
      </c>
      <c r="D14" s="154"/>
      <c r="E14" s="52"/>
      <c r="F14" s="54"/>
      <c r="G14" s="52"/>
      <c r="H14" s="52"/>
      <c r="I14" s="45">
        <f>I12*I13</f>
        <v>1272.8126399999999</v>
      </c>
      <c r="L14" s="2"/>
      <c r="S14" s="1">
        <f>35*52</f>
        <v>1820</v>
      </c>
    </row>
    <row r="15" spans="2:19" s="1" customFormat="1" ht="12" hidden="1">
      <c r="B15" s="10" t="s">
        <v>26</v>
      </c>
      <c r="C15" s="42"/>
      <c r="D15" s="157" t="s">
        <v>25</v>
      </c>
      <c r="E15" s="23"/>
      <c r="F15" s="21">
        <f>C14+C15</f>
        <v>16948.8</v>
      </c>
      <c r="G15" s="52"/>
      <c r="H15" s="52"/>
      <c r="I15" s="37">
        <v>0</v>
      </c>
      <c r="L15" s="2"/>
      <c r="S15" s="1">
        <f>168*12</f>
        <v>2016</v>
      </c>
    </row>
    <row r="16" spans="2:19" s="1" customFormat="1" ht="12" hidden="1">
      <c r="B16" s="10"/>
      <c r="C16" s="37"/>
      <c r="D16" s="154"/>
      <c r="E16" s="52"/>
      <c r="F16" s="21"/>
      <c r="G16" s="52"/>
      <c r="H16" s="52"/>
      <c r="I16" s="37"/>
      <c r="L16" s="2"/>
      <c r="S16" s="1">
        <f>+S14/S15*100</f>
        <v>90.27777777777779</v>
      </c>
    </row>
    <row r="17" spans="2:12" s="1" customFormat="1" ht="12" hidden="1">
      <c r="B17" s="10" t="s">
        <v>22</v>
      </c>
      <c r="C17" s="37" t="s">
        <v>8</v>
      </c>
      <c r="D17" s="158"/>
      <c r="E17" s="37"/>
      <c r="F17" s="52"/>
      <c r="G17" s="52"/>
      <c r="H17" s="37"/>
      <c r="I17" s="37"/>
      <c r="L17" s="2"/>
    </row>
    <row r="18" spans="2:12" s="1" customFormat="1" ht="12" hidden="1">
      <c r="B18" s="10" t="s">
        <v>9</v>
      </c>
      <c r="C18" s="43"/>
      <c r="D18" s="154"/>
      <c r="E18" s="53"/>
      <c r="F18" s="21">
        <f>F15-F17</f>
        <v>16948.8</v>
      </c>
      <c r="G18" s="52"/>
      <c r="H18" s="37"/>
      <c r="I18" s="37"/>
      <c r="L18" s="2"/>
    </row>
    <row r="19" spans="3:12" s="1" customFormat="1" ht="12" hidden="1">
      <c r="C19" s="37"/>
      <c r="D19" s="154"/>
      <c r="E19" s="52"/>
      <c r="F19" s="52"/>
      <c r="G19" s="52"/>
      <c r="H19" s="37"/>
      <c r="I19" s="37"/>
      <c r="L19" s="2"/>
    </row>
    <row r="20" spans="2:12" s="1" customFormat="1" ht="12.75" hidden="1" thickBot="1">
      <c r="B20" s="10" t="s">
        <v>10</v>
      </c>
      <c r="C20" s="37"/>
      <c r="D20" s="154"/>
      <c r="E20" s="52"/>
      <c r="F20" s="52"/>
      <c r="G20" s="52"/>
      <c r="H20" s="37"/>
      <c r="I20" s="37"/>
      <c r="L20" s="2"/>
    </row>
    <row r="21" spans="2:12" s="1" customFormat="1" ht="12.75" hidden="1" thickBot="1">
      <c r="B21" s="1" t="s">
        <v>19</v>
      </c>
      <c r="C21" s="21">
        <f>F18</f>
        <v>16948.8</v>
      </c>
      <c r="D21" s="159">
        <f>IF(C21&gt;$D$41,(C21-$D$41)*$G$41+$I$40,IF(C21&gt;$D$40,(C21-$D$40)*$G$40+$I$39,IF(C21&gt;$D$39,(C21-$D$39)*$G$39+$I$38,IF(C21&gt;$D$38,(C21-$D$38)*$G$38+$I$37,C21*$G$37))))</f>
        <v>3976.176</v>
      </c>
      <c r="E21" s="148"/>
      <c r="F21" s="56"/>
      <c r="G21" s="37"/>
      <c r="H21" s="37"/>
      <c r="I21" s="37"/>
      <c r="L21" s="2"/>
    </row>
    <row r="22" spans="3:12" s="1" customFormat="1" ht="12.75" hidden="1" thickBot="1">
      <c r="C22" s="21"/>
      <c r="D22" s="160"/>
      <c r="E22" s="30"/>
      <c r="F22" s="56"/>
      <c r="G22" s="52"/>
      <c r="H22" s="52"/>
      <c r="I22" s="37"/>
      <c r="L22" s="2"/>
    </row>
    <row r="23" spans="2:12" s="1" customFormat="1" ht="12.75" hidden="1" thickBot="1">
      <c r="B23" s="1" t="s">
        <v>23</v>
      </c>
      <c r="C23" s="44"/>
      <c r="D23" s="159">
        <f>+I14+I15</f>
        <v>1272.8126399999999</v>
      </c>
      <c r="E23" s="148"/>
      <c r="F23" s="52"/>
      <c r="G23" s="52"/>
      <c r="H23" s="52"/>
      <c r="I23" s="37"/>
      <c r="J23" s="8"/>
      <c r="L23" s="2"/>
    </row>
    <row r="24" spans="3:12" s="1" customFormat="1" ht="12.75" hidden="1" thickBot="1">
      <c r="C24" s="5"/>
      <c r="D24" s="161"/>
      <c r="E24" s="149"/>
      <c r="F24" s="52"/>
      <c r="G24" s="52"/>
      <c r="H24" s="52"/>
      <c r="I24" s="37"/>
      <c r="L24" s="2"/>
    </row>
    <row r="25" spans="2:12" s="1" customFormat="1" ht="12.75" hidden="1" thickBot="1">
      <c r="B25" s="1" t="s">
        <v>11</v>
      </c>
      <c r="C25" s="45"/>
      <c r="D25" s="159">
        <f>D21-D23-D24</f>
        <v>2703.3633600000003</v>
      </c>
      <c r="E25" s="148"/>
      <c r="F25" s="52"/>
      <c r="G25" s="52"/>
      <c r="H25" s="52"/>
      <c r="I25" s="37"/>
      <c r="L25" s="2"/>
    </row>
    <row r="26" spans="2:12" s="1" customFormat="1" ht="12" hidden="1">
      <c r="B26" s="1" t="s">
        <v>12</v>
      </c>
      <c r="C26" s="40">
        <v>0.0123</v>
      </c>
      <c r="D26" s="154">
        <f>F$15*C26</f>
        <v>208.47024</v>
      </c>
      <c r="E26" s="52"/>
      <c r="F26" s="52" t="s">
        <v>27</v>
      </c>
      <c r="G26" s="52"/>
      <c r="H26" s="52"/>
      <c r="I26" s="37"/>
      <c r="L26" s="2"/>
    </row>
    <row r="27" spans="2:12" s="1" customFormat="1" ht="12" hidden="1">
      <c r="B27" s="1" t="s">
        <v>13</v>
      </c>
      <c r="C27" s="40">
        <v>0.005</v>
      </c>
      <c r="D27" s="154">
        <f>F$15*C27</f>
        <v>84.744</v>
      </c>
      <c r="E27" s="52"/>
      <c r="F27" s="52" t="s">
        <v>27</v>
      </c>
      <c r="G27" s="52"/>
      <c r="H27" s="52"/>
      <c r="I27" s="37"/>
      <c r="L27" s="2"/>
    </row>
    <row r="28" spans="2:12" s="1" customFormat="1" ht="13.5" customHeight="1" hidden="1">
      <c r="B28" s="32" t="s">
        <v>30</v>
      </c>
      <c r="C28" s="46">
        <v>0</v>
      </c>
      <c r="D28" s="162">
        <v>0</v>
      </c>
      <c r="E28" s="57"/>
      <c r="F28" s="52"/>
      <c r="G28" s="52"/>
      <c r="H28" s="52"/>
      <c r="I28" s="37"/>
      <c r="L28" s="2"/>
    </row>
    <row r="29" spans="2:12" s="1" customFormat="1" ht="13.5" customHeight="1" hidden="1">
      <c r="B29" s="1" t="s">
        <v>32</v>
      </c>
      <c r="C29" s="40" t="s">
        <v>33</v>
      </c>
      <c r="D29" s="154">
        <f>+D30*30%</f>
        <v>45.761759999999995</v>
      </c>
      <c r="E29" s="52"/>
      <c r="F29" s="52" t="s">
        <v>37</v>
      </c>
      <c r="G29" s="52"/>
      <c r="H29" s="52"/>
      <c r="I29" s="37"/>
      <c r="L29" s="2"/>
    </row>
    <row r="30" spans="2:12" s="1" customFormat="1" ht="12.75" hidden="1" thickBot="1">
      <c r="B30" s="1" t="s">
        <v>14</v>
      </c>
      <c r="C30" s="47">
        <v>0.009</v>
      </c>
      <c r="D30" s="154">
        <f>F$15*C30</f>
        <v>152.5392</v>
      </c>
      <c r="E30" s="52"/>
      <c r="F30" s="52" t="s">
        <v>37</v>
      </c>
      <c r="G30" s="52"/>
      <c r="H30" s="52"/>
      <c r="I30" s="37"/>
      <c r="L30" s="2"/>
    </row>
    <row r="31" spans="3:12" s="1" customFormat="1" ht="12.75" hidden="1" thickTop="1">
      <c r="C31" s="41"/>
      <c r="D31" s="154"/>
      <c r="E31" s="52"/>
      <c r="F31" s="52"/>
      <c r="G31" s="52"/>
      <c r="H31" s="52"/>
      <c r="I31" s="37"/>
      <c r="L31" s="2"/>
    </row>
    <row r="32" spans="3:12" s="1" customFormat="1" ht="12.75" hidden="1" thickBot="1">
      <c r="C32" s="37"/>
      <c r="D32" s="154"/>
      <c r="E32" s="52"/>
      <c r="F32" s="52"/>
      <c r="G32" s="52"/>
      <c r="H32" s="52"/>
      <c r="I32" s="37"/>
      <c r="L32" s="2"/>
    </row>
    <row r="33" spans="2:16" s="12" customFormat="1" ht="12.75" hidden="1" thickBot="1">
      <c r="B33" s="199" t="s">
        <v>15</v>
      </c>
      <c r="C33" s="200"/>
      <c r="D33" s="201"/>
      <c r="E33" s="36"/>
      <c r="F33" s="38">
        <f>F7-F13-D25-D26-D27-D28-D30-D29</f>
        <v>13753.92144</v>
      </c>
      <c r="G33" s="52"/>
      <c r="H33" s="37"/>
      <c r="I33" s="37"/>
      <c r="J33" s="1"/>
      <c r="K33" s="1"/>
      <c r="L33" s="2"/>
      <c r="N33" s="1"/>
      <c r="O33" s="1"/>
      <c r="P33" s="1"/>
    </row>
    <row r="34" spans="2:12" s="12" customFormat="1" ht="12" hidden="1">
      <c r="B34" s="1"/>
      <c r="C34" s="37"/>
      <c r="D34" s="154"/>
      <c r="E34" s="52"/>
      <c r="F34" s="52"/>
      <c r="G34" s="52"/>
      <c r="H34" s="37"/>
      <c r="I34" s="37"/>
      <c r="J34" s="1"/>
      <c r="K34" s="1"/>
      <c r="L34" s="2"/>
    </row>
    <row r="35" spans="3:12" s="12" customFormat="1" ht="12" hidden="1">
      <c r="C35" s="48"/>
      <c r="D35" s="163"/>
      <c r="E35" s="48"/>
      <c r="F35" s="58"/>
      <c r="G35" s="48"/>
      <c r="H35" s="48"/>
      <c r="I35" s="45"/>
      <c r="J35" s="13"/>
      <c r="L35" s="13"/>
    </row>
    <row r="36" spans="3:12" s="12" customFormat="1" ht="11.25" hidden="1">
      <c r="C36" s="202" t="s">
        <v>20</v>
      </c>
      <c r="D36" s="203"/>
      <c r="E36" s="203"/>
      <c r="F36" s="204"/>
      <c r="G36" s="14" t="s">
        <v>16</v>
      </c>
      <c r="H36" s="15" t="s">
        <v>17</v>
      </c>
      <c r="I36" s="15" t="s">
        <v>18</v>
      </c>
      <c r="L36" s="13"/>
    </row>
    <row r="37" spans="3:12" s="12" customFormat="1" ht="11.25" hidden="1">
      <c r="C37" s="16">
        <v>1</v>
      </c>
      <c r="D37" s="164">
        <v>0</v>
      </c>
      <c r="E37" s="59"/>
      <c r="F37" s="59">
        <v>15000</v>
      </c>
      <c r="G37" s="60">
        <v>0.23</v>
      </c>
      <c r="H37" s="61">
        <f>ROUND(F37*G37,2)</f>
        <v>3450</v>
      </c>
      <c r="I37" s="61">
        <f>H37</f>
        <v>3450</v>
      </c>
      <c r="J37" s="13"/>
      <c r="L37" s="13"/>
    </row>
    <row r="38" spans="3:12" s="12" customFormat="1" ht="11.25" hidden="1">
      <c r="C38" s="17">
        <v>2</v>
      </c>
      <c r="D38" s="165">
        <f>F37</f>
        <v>15000</v>
      </c>
      <c r="E38" s="62"/>
      <c r="F38" s="62">
        <v>28000</v>
      </c>
      <c r="G38" s="63">
        <v>0.27</v>
      </c>
      <c r="H38" s="64">
        <f>ROUND((F38-F37)*G38,2)</f>
        <v>3510</v>
      </c>
      <c r="I38" s="64">
        <f>H38+I37</f>
        <v>6960</v>
      </c>
      <c r="J38" s="13"/>
      <c r="L38" s="13"/>
    </row>
    <row r="39" spans="2:16" ht="12.75" hidden="1">
      <c r="B39" s="12"/>
      <c r="C39" s="17">
        <v>3</v>
      </c>
      <c r="D39" s="165">
        <f>F38</f>
        <v>28000</v>
      </c>
      <c r="E39" s="62"/>
      <c r="F39" s="62">
        <v>55000</v>
      </c>
      <c r="G39" s="63">
        <v>0.38</v>
      </c>
      <c r="H39" s="64">
        <f>ROUND((F39-F38)*G39,2)</f>
        <v>10260</v>
      </c>
      <c r="I39" s="64">
        <f>H39+I38</f>
        <v>17220</v>
      </c>
      <c r="J39" s="13"/>
      <c r="K39" s="12"/>
      <c r="L39" s="13"/>
      <c r="N39" s="12"/>
      <c r="O39" s="12"/>
      <c r="P39" s="12"/>
    </row>
    <row r="40" spans="2:10" ht="12.75" hidden="1">
      <c r="B40" s="12"/>
      <c r="C40" s="17">
        <v>4</v>
      </c>
      <c r="D40" s="165">
        <f>F39</f>
        <v>55000</v>
      </c>
      <c r="E40" s="62"/>
      <c r="F40" s="62">
        <v>75000</v>
      </c>
      <c r="G40" s="63">
        <v>0.41</v>
      </c>
      <c r="H40" s="64">
        <f>ROUND((F40-F39)*G40,2)</f>
        <v>8200</v>
      </c>
      <c r="I40" s="64">
        <f>H40+I39</f>
        <v>25420</v>
      </c>
      <c r="J40" s="13"/>
    </row>
    <row r="41" spans="2:10" ht="12.75" hidden="1">
      <c r="B41" s="12"/>
      <c r="C41" s="19">
        <v>5</v>
      </c>
      <c r="D41" s="166">
        <f>F40</f>
        <v>75000</v>
      </c>
      <c r="E41" s="65"/>
      <c r="F41" s="65">
        <v>100000</v>
      </c>
      <c r="G41" s="66">
        <v>0.43</v>
      </c>
      <c r="H41" s="67">
        <f>ROUND((F41-F40)*G41,2)</f>
        <v>10750</v>
      </c>
      <c r="I41" s="67">
        <f>H41+I40</f>
        <v>36170</v>
      </c>
      <c r="J41" s="13"/>
    </row>
    <row r="42" spans="2:15" s="27" customFormat="1" ht="12.75" hidden="1">
      <c r="B42" s="24"/>
      <c r="C42" s="25"/>
      <c r="D42" s="167"/>
      <c r="E42" s="68"/>
      <c r="F42" s="68"/>
      <c r="G42" s="69"/>
      <c r="H42" s="68"/>
      <c r="I42" s="68"/>
      <c r="J42" s="26"/>
      <c r="L42" s="28"/>
      <c r="O42" s="29"/>
    </row>
    <row r="43" spans="3:12" s="12" customFormat="1" ht="11.25" hidden="1">
      <c r="C43" s="202" t="s">
        <v>21</v>
      </c>
      <c r="D43" s="203"/>
      <c r="E43" s="203"/>
      <c r="F43" s="204"/>
      <c r="G43" s="14" t="s">
        <v>16</v>
      </c>
      <c r="H43" s="15" t="s">
        <v>17</v>
      </c>
      <c r="I43" s="15" t="s">
        <v>18</v>
      </c>
      <c r="L43" s="13"/>
    </row>
    <row r="44" spans="3:12" s="12" customFormat="1" ht="11.25" hidden="1">
      <c r="C44" s="16">
        <v>1</v>
      </c>
      <c r="D44" s="164">
        <v>0</v>
      </c>
      <c r="E44" s="59"/>
      <c r="F44" s="59">
        <v>1250</v>
      </c>
      <c r="G44" s="60">
        <v>0.23</v>
      </c>
      <c r="H44" s="61">
        <f>ROUND(F44*G44,2)</f>
        <v>287.5</v>
      </c>
      <c r="I44" s="61">
        <f>H44</f>
        <v>287.5</v>
      </c>
      <c r="J44" s="13"/>
      <c r="L44" s="13"/>
    </row>
    <row r="45" spans="3:12" s="12" customFormat="1" ht="11.25" hidden="1">
      <c r="C45" s="17">
        <v>2</v>
      </c>
      <c r="D45" s="165">
        <f>F44+0.01</f>
        <v>1250.01</v>
      </c>
      <c r="E45" s="62"/>
      <c r="F45" s="62">
        <v>2333.33</v>
      </c>
      <c r="G45" s="63">
        <v>0.27</v>
      </c>
      <c r="H45" s="64">
        <f>ROUND((F45-F44)*G45,2)</f>
        <v>292.5</v>
      </c>
      <c r="I45" s="64">
        <f>H45+I44</f>
        <v>580</v>
      </c>
      <c r="J45" s="13"/>
      <c r="L45" s="13"/>
    </row>
    <row r="46" spans="2:16" ht="12.75" hidden="1">
      <c r="B46" s="12"/>
      <c r="C46" s="17">
        <v>3</v>
      </c>
      <c r="D46" s="165">
        <f>F45+0.01</f>
        <v>2333.34</v>
      </c>
      <c r="E46" s="62"/>
      <c r="F46" s="62">
        <v>4583.33</v>
      </c>
      <c r="G46" s="63">
        <v>0.38</v>
      </c>
      <c r="H46" s="64">
        <f>ROUND((F46-F45)*G46,2)</f>
        <v>855</v>
      </c>
      <c r="I46" s="64">
        <f>H46+I45</f>
        <v>1435</v>
      </c>
      <c r="J46" s="13"/>
      <c r="K46" s="12"/>
      <c r="L46" s="13"/>
      <c r="N46" s="12"/>
      <c r="O46" s="12"/>
      <c r="P46" s="12"/>
    </row>
    <row r="47" spans="2:10" ht="12.75" hidden="1">
      <c r="B47" s="12"/>
      <c r="C47" s="17">
        <v>4</v>
      </c>
      <c r="D47" s="165">
        <f>F46+0.01</f>
        <v>4583.34</v>
      </c>
      <c r="E47" s="62"/>
      <c r="F47" s="62">
        <v>6250</v>
      </c>
      <c r="G47" s="63">
        <v>0.41</v>
      </c>
      <c r="H47" s="64">
        <f>ROUND((F47-F46)*G47,2)</f>
        <v>683.33</v>
      </c>
      <c r="I47" s="64">
        <f>H47+I46</f>
        <v>2118.33</v>
      </c>
      <c r="J47" s="13"/>
    </row>
    <row r="48" spans="2:10" ht="12.75" hidden="1">
      <c r="B48" s="12"/>
      <c r="C48" s="19">
        <v>5</v>
      </c>
      <c r="D48" s="166">
        <f>F47+0.01</f>
        <v>6250.01</v>
      </c>
      <c r="E48" s="65"/>
      <c r="F48" s="65">
        <f>F41/12</f>
        <v>8333.333333333334</v>
      </c>
      <c r="G48" s="66">
        <v>0.43</v>
      </c>
      <c r="H48" s="67">
        <f>ROUND((F48-F47)*G48,2)</f>
        <v>895.83</v>
      </c>
      <c r="I48" s="67">
        <f>H48+I47</f>
        <v>3014.16</v>
      </c>
      <c r="J48" s="13"/>
    </row>
    <row r="49" ht="12.75" hidden="1"/>
    <row r="51" ht="15.75">
      <c r="B51" s="192" t="s">
        <v>60</v>
      </c>
    </row>
    <row r="52" ht="18">
      <c r="B52" s="193" t="s">
        <v>61</v>
      </c>
    </row>
    <row r="53" spans="2:3" ht="16.5" thickBot="1">
      <c r="B53" s="194" t="s">
        <v>62</v>
      </c>
      <c r="C53" s="50"/>
    </row>
    <row r="54" spans="2:8" ht="12.75">
      <c r="B54" s="133" t="s">
        <v>42</v>
      </c>
      <c r="C54" s="134">
        <v>0.2898</v>
      </c>
      <c r="D54" s="169" t="s">
        <v>45</v>
      </c>
      <c r="E54" s="135" t="s">
        <v>57</v>
      </c>
      <c r="F54" s="135"/>
      <c r="G54" s="136" t="s">
        <v>38</v>
      </c>
      <c r="H54" s="136" t="s">
        <v>36</v>
      </c>
    </row>
    <row r="55" spans="2:8" ht="12.75">
      <c r="B55" s="137" t="s">
        <v>35</v>
      </c>
      <c r="C55" s="138" t="s">
        <v>34</v>
      </c>
      <c r="D55" s="170">
        <v>3000</v>
      </c>
      <c r="E55" s="139" t="s">
        <v>56</v>
      </c>
      <c r="F55" s="138" t="s">
        <v>28</v>
      </c>
      <c r="G55" s="140" t="s">
        <v>44</v>
      </c>
      <c r="H55" s="140" t="s">
        <v>29</v>
      </c>
    </row>
    <row r="56" spans="2:8" ht="13.5" thickBot="1">
      <c r="B56" s="141">
        <v>21000</v>
      </c>
      <c r="C56" s="142">
        <f>B56*28.98%</f>
        <v>6085.8</v>
      </c>
      <c r="D56" s="171">
        <f>+C56-D55</f>
        <v>3085.8</v>
      </c>
      <c r="E56" s="142">
        <f>+(B56*0.044)+(B56*44/1000)*1%</f>
        <v>933.24</v>
      </c>
      <c r="F56" s="142">
        <f>(B56/13.5)-(B56*0.5%)</f>
        <v>1450.5555555555557</v>
      </c>
      <c r="G56" s="143">
        <v>0</v>
      </c>
      <c r="H56" s="143">
        <f>+B56+D56+F56+E56</f>
        <v>26469.595555555556</v>
      </c>
    </row>
    <row r="57" spans="2:8" ht="12.75">
      <c r="B57" s="94" t="s">
        <v>46</v>
      </c>
      <c r="C57" s="51"/>
      <c r="D57" s="172"/>
      <c r="E57" s="70"/>
      <c r="F57" s="70"/>
      <c r="G57" s="51"/>
      <c r="H57" s="51"/>
    </row>
    <row r="58" spans="2:8" ht="13.5" thickBot="1">
      <c r="B58" s="94"/>
      <c r="C58" s="51"/>
      <c r="D58" s="172"/>
      <c r="E58" s="70"/>
      <c r="F58" s="70"/>
      <c r="G58" s="51"/>
      <c r="H58" s="51"/>
    </row>
    <row r="59" spans="2:9" ht="12.75">
      <c r="B59" s="72" t="s">
        <v>43</v>
      </c>
      <c r="C59" s="73">
        <v>0.0311</v>
      </c>
      <c r="D59" s="173"/>
      <c r="E59" s="74" t="s">
        <v>57</v>
      </c>
      <c r="F59" s="74"/>
      <c r="G59" s="75" t="s">
        <v>38</v>
      </c>
      <c r="H59" s="75" t="s">
        <v>36</v>
      </c>
      <c r="I59" s="118" t="s">
        <v>50</v>
      </c>
    </row>
    <row r="60" spans="2:9" ht="12.75">
      <c r="B60" s="76" t="s">
        <v>35</v>
      </c>
      <c r="C60" s="77" t="s">
        <v>34</v>
      </c>
      <c r="D60" s="174"/>
      <c r="E60" s="92" t="s">
        <v>56</v>
      </c>
      <c r="F60" s="77" t="s">
        <v>28</v>
      </c>
      <c r="G60" s="78" t="s">
        <v>44</v>
      </c>
      <c r="H60" s="78" t="s">
        <v>29</v>
      </c>
      <c r="I60" s="119" t="s">
        <v>51</v>
      </c>
    </row>
    <row r="61" spans="2:10" ht="13.5" thickBot="1">
      <c r="B61" s="79">
        <v>21000</v>
      </c>
      <c r="C61" s="80">
        <f>B61*C59</f>
        <v>653.1</v>
      </c>
      <c r="D61" s="175"/>
      <c r="E61" s="152">
        <v>0</v>
      </c>
      <c r="F61" s="80">
        <f>(B61/13.5)-(B61*0.5%)</f>
        <v>1450.5555555555557</v>
      </c>
      <c r="G61" s="81">
        <v>0</v>
      </c>
      <c r="H61" s="81">
        <f>+B61+C61+D61+F61+G61</f>
        <v>23103.655555555553</v>
      </c>
      <c r="I61" s="120">
        <f>+H56-H61</f>
        <v>3365.9400000000023</v>
      </c>
      <c r="J61" s="191"/>
    </row>
    <row r="62" spans="2:12" ht="14.25" customHeight="1" thickBot="1">
      <c r="B62" s="27"/>
      <c r="C62" s="51"/>
      <c r="D62" s="176"/>
      <c r="E62" s="51"/>
      <c r="F62" s="51"/>
      <c r="G62" s="51"/>
      <c r="H62" s="51"/>
      <c r="L62" s="18"/>
    </row>
    <row r="63" spans="2:9" ht="12.75">
      <c r="B63" s="72" t="s">
        <v>43</v>
      </c>
      <c r="C63" s="73">
        <v>0.0461</v>
      </c>
      <c r="D63" s="173"/>
      <c r="E63" s="74" t="str">
        <f>+E59</f>
        <v>Premio</v>
      </c>
      <c r="F63" s="74"/>
      <c r="G63" s="75" t="s">
        <v>38</v>
      </c>
      <c r="H63" s="75" t="s">
        <v>36</v>
      </c>
      <c r="I63" s="118" t="s">
        <v>50</v>
      </c>
    </row>
    <row r="64" spans="2:9" ht="12.75">
      <c r="B64" s="76" t="s">
        <v>35</v>
      </c>
      <c r="C64" s="77" t="s">
        <v>34</v>
      </c>
      <c r="D64" s="174"/>
      <c r="E64" s="92" t="str">
        <f>+E60</f>
        <v>INAIL</v>
      </c>
      <c r="F64" s="77" t="s">
        <v>28</v>
      </c>
      <c r="G64" s="78" t="s">
        <v>44</v>
      </c>
      <c r="H64" s="78" t="s">
        <v>29</v>
      </c>
      <c r="I64" s="119" t="s">
        <v>51</v>
      </c>
    </row>
    <row r="65" spans="2:9" ht="13.5" thickBot="1">
      <c r="B65" s="79">
        <v>21000</v>
      </c>
      <c r="C65" s="80">
        <f>B65*C63</f>
        <v>968.1</v>
      </c>
      <c r="D65" s="175"/>
      <c r="E65" s="152">
        <v>0</v>
      </c>
      <c r="F65" s="80">
        <f>(B65/13.5)-(B65*0.5%)</f>
        <v>1450.5555555555557</v>
      </c>
      <c r="G65" s="81">
        <v>0</v>
      </c>
      <c r="H65" s="81">
        <f>+B65+C65+D65+F65+G65</f>
        <v>23418.655555555553</v>
      </c>
      <c r="I65" s="120">
        <f>+H56-H65</f>
        <v>3050.9400000000023</v>
      </c>
    </row>
    <row r="66" spans="2:12" ht="13.5" thickBot="1">
      <c r="B66" s="27"/>
      <c r="C66" s="51"/>
      <c r="D66" s="176"/>
      <c r="E66" s="51"/>
      <c r="F66" s="51"/>
      <c r="G66" s="51"/>
      <c r="H66" s="51"/>
      <c r="L66" s="18"/>
    </row>
    <row r="67" spans="2:9" ht="12.75">
      <c r="B67" s="72" t="s">
        <v>43</v>
      </c>
      <c r="C67" s="73">
        <v>0.1161</v>
      </c>
      <c r="D67" s="173"/>
      <c r="E67" s="74" t="str">
        <f>+E63</f>
        <v>Premio</v>
      </c>
      <c r="F67" s="74"/>
      <c r="G67" s="75" t="s">
        <v>38</v>
      </c>
      <c r="H67" s="75" t="s">
        <v>36</v>
      </c>
      <c r="I67" s="118" t="s">
        <v>50</v>
      </c>
    </row>
    <row r="68" spans="2:9" ht="12.75">
      <c r="B68" s="76" t="s">
        <v>35</v>
      </c>
      <c r="C68" s="77" t="s">
        <v>34</v>
      </c>
      <c r="D68" s="174"/>
      <c r="E68" s="92" t="str">
        <f>+E64</f>
        <v>INAIL</v>
      </c>
      <c r="F68" s="77" t="s">
        <v>28</v>
      </c>
      <c r="G68" s="78" t="s">
        <v>44</v>
      </c>
      <c r="H68" s="78" t="s">
        <v>29</v>
      </c>
      <c r="I68" s="119" t="s">
        <v>51</v>
      </c>
    </row>
    <row r="69" spans="2:9" ht="13.5" thickBot="1">
      <c r="B69" s="79">
        <v>21000</v>
      </c>
      <c r="C69" s="80">
        <f>B69*11.61%</f>
        <v>2438.1</v>
      </c>
      <c r="D69" s="175"/>
      <c r="E69" s="152">
        <v>0</v>
      </c>
      <c r="F69" s="80">
        <f>(B69/13.5)-(B69*0.5%)</f>
        <v>1450.5555555555557</v>
      </c>
      <c r="G69" s="81">
        <v>0</v>
      </c>
      <c r="H69" s="81">
        <f>+B69+C69+D69+F69+G69</f>
        <v>24888.655555555553</v>
      </c>
      <c r="I69" s="120">
        <f>+H56-H69</f>
        <v>1580.9400000000023</v>
      </c>
    </row>
    <row r="70" spans="2:12" ht="13.5" thickBot="1">
      <c r="B70" s="93" t="s">
        <v>47</v>
      </c>
      <c r="D70" s="177"/>
      <c r="E70" s="49"/>
      <c r="F70" s="49"/>
      <c r="L70" s="18"/>
    </row>
    <row r="71" spans="2:12" ht="15" customHeight="1" thickBot="1">
      <c r="B71" s="93" t="s">
        <v>52</v>
      </c>
      <c r="D71" s="177"/>
      <c r="E71" s="49"/>
      <c r="F71" s="49"/>
      <c r="H71" s="71"/>
      <c r="I71" s="121">
        <f>+I61+I65+I69</f>
        <v>7997.820000000007</v>
      </c>
      <c r="L71" s="18"/>
    </row>
    <row r="72" spans="2:12" ht="12.75">
      <c r="B72" s="93" t="s">
        <v>59</v>
      </c>
      <c r="D72" s="177"/>
      <c r="E72" s="49"/>
      <c r="F72" s="49"/>
      <c r="H72" s="71"/>
      <c r="L72" s="18"/>
    </row>
    <row r="73" spans="4:12" ht="12.75">
      <c r="D73" s="177"/>
      <c r="E73" s="49"/>
      <c r="F73" s="49"/>
      <c r="H73" s="71"/>
      <c r="L73" s="18"/>
    </row>
    <row r="74" spans="4:12" ht="13.5" thickBot="1">
      <c r="D74" s="177"/>
      <c r="E74" s="49"/>
      <c r="F74" s="49"/>
      <c r="L74" s="18"/>
    </row>
    <row r="75" spans="2:12" ht="12.75">
      <c r="B75" s="105" t="s">
        <v>48</v>
      </c>
      <c r="C75" s="106">
        <v>0.2898</v>
      </c>
      <c r="D75" s="178" t="s">
        <v>45</v>
      </c>
      <c r="E75" s="107" t="str">
        <f>+E59</f>
        <v>Premio</v>
      </c>
      <c r="F75" s="107"/>
      <c r="G75" s="108" t="s">
        <v>38</v>
      </c>
      <c r="H75" s="108" t="s">
        <v>36</v>
      </c>
      <c r="L75" s="18"/>
    </row>
    <row r="76" spans="2:12" ht="12.75">
      <c r="B76" s="109" t="s">
        <v>35</v>
      </c>
      <c r="C76" s="110" t="s">
        <v>34</v>
      </c>
      <c r="D76" s="179">
        <v>3000</v>
      </c>
      <c r="E76" s="111" t="str">
        <f>+E60</f>
        <v>INAIL</v>
      </c>
      <c r="F76" s="110" t="s">
        <v>28</v>
      </c>
      <c r="G76" s="112" t="s">
        <v>44</v>
      </c>
      <c r="H76" s="112" t="s">
        <v>29</v>
      </c>
      <c r="L76" s="18"/>
    </row>
    <row r="77" spans="2:12" ht="13.5" thickBot="1">
      <c r="B77" s="113">
        <f>+B56*60/100</f>
        <v>12600</v>
      </c>
      <c r="C77" s="114">
        <f>B77*28.98%</f>
        <v>3651.48</v>
      </c>
      <c r="D77" s="180">
        <f>+C77*50%</f>
        <v>1825.74</v>
      </c>
      <c r="E77" s="114">
        <f>+(B77*0.044)+(B77*44/1000)*1%</f>
        <v>559.944</v>
      </c>
      <c r="F77" s="114">
        <f>(B77/13.5)-(B77*0.5%)</f>
        <v>870.3333333333334</v>
      </c>
      <c r="G77" s="115">
        <v>0</v>
      </c>
      <c r="H77" s="115">
        <f>+B77+D77+F77+E77</f>
        <v>15856.017333333333</v>
      </c>
      <c r="L77" s="18"/>
    </row>
    <row r="78" spans="2:12" ht="12.75">
      <c r="B78" s="94" t="s">
        <v>46</v>
      </c>
      <c r="C78" s="51"/>
      <c r="D78" s="172"/>
      <c r="E78" s="70"/>
      <c r="F78" s="70"/>
      <c r="G78" s="51"/>
      <c r="H78" s="51"/>
      <c r="L78" s="18"/>
    </row>
    <row r="79" spans="2:12" ht="13.5" thickBot="1">
      <c r="B79" s="27"/>
      <c r="C79" s="51"/>
      <c r="D79" s="176"/>
      <c r="E79" s="51"/>
      <c r="F79" s="51"/>
      <c r="G79" s="51"/>
      <c r="H79" s="51"/>
      <c r="L79" s="18"/>
    </row>
    <row r="80" spans="2:12" ht="12.75">
      <c r="B80" s="95" t="s">
        <v>49</v>
      </c>
      <c r="C80" s="96">
        <v>0.0311</v>
      </c>
      <c r="D80" s="181"/>
      <c r="E80" s="97" t="str">
        <f>+E75</f>
        <v>Premio</v>
      </c>
      <c r="F80" s="97"/>
      <c r="G80" s="98" t="s">
        <v>38</v>
      </c>
      <c r="H80" s="98" t="s">
        <v>36</v>
      </c>
      <c r="I80" s="118" t="s">
        <v>50</v>
      </c>
      <c r="L80" s="18"/>
    </row>
    <row r="81" spans="2:12" ht="12.75">
      <c r="B81" s="99" t="s">
        <v>35</v>
      </c>
      <c r="C81" s="100" t="s">
        <v>34</v>
      </c>
      <c r="D81" s="182"/>
      <c r="E81" s="116" t="str">
        <f>+E76</f>
        <v>INAIL</v>
      </c>
      <c r="F81" s="100" t="s">
        <v>28</v>
      </c>
      <c r="G81" s="101" t="s">
        <v>44</v>
      </c>
      <c r="H81" s="101" t="s">
        <v>29</v>
      </c>
      <c r="I81" s="119" t="s">
        <v>51</v>
      </c>
      <c r="L81" s="18"/>
    </row>
    <row r="82" spans="2:12" ht="13.5" thickBot="1">
      <c r="B82" s="102">
        <f>+B77</f>
        <v>12600</v>
      </c>
      <c r="C82" s="103">
        <f>B82*C80</f>
        <v>391.86</v>
      </c>
      <c r="D82" s="183"/>
      <c r="E82" s="152">
        <v>0</v>
      </c>
      <c r="F82" s="103">
        <f>(B82/13.5)-(B82*0.5%)</f>
        <v>870.3333333333334</v>
      </c>
      <c r="G82" s="104">
        <v>0</v>
      </c>
      <c r="H82" s="104">
        <f>+B82+C82+D82+F82+G82</f>
        <v>13862.193333333335</v>
      </c>
      <c r="I82" s="120">
        <f>+H77-H82</f>
        <v>1993.8239999999987</v>
      </c>
      <c r="L82" s="18"/>
    </row>
    <row r="83" spans="2:12" ht="13.5" thickBot="1">
      <c r="B83" s="93"/>
      <c r="D83" s="177"/>
      <c r="E83" s="49"/>
      <c r="F83" s="49"/>
      <c r="L83" s="18"/>
    </row>
    <row r="84" spans="2:12" ht="12.75">
      <c r="B84" s="95" t="s">
        <v>49</v>
      </c>
      <c r="C84" s="96">
        <v>0.0461</v>
      </c>
      <c r="D84" s="181"/>
      <c r="E84" s="97" t="str">
        <f>+E80</f>
        <v>Premio</v>
      </c>
      <c r="F84" s="97"/>
      <c r="G84" s="98" t="s">
        <v>38</v>
      </c>
      <c r="H84" s="98" t="s">
        <v>36</v>
      </c>
      <c r="I84" s="118" t="s">
        <v>50</v>
      </c>
      <c r="L84" s="18"/>
    </row>
    <row r="85" spans="2:12" ht="12.75">
      <c r="B85" s="99" t="s">
        <v>35</v>
      </c>
      <c r="C85" s="100" t="s">
        <v>34</v>
      </c>
      <c r="D85" s="182"/>
      <c r="E85" s="116" t="str">
        <f>+E81</f>
        <v>INAIL</v>
      </c>
      <c r="F85" s="100" t="s">
        <v>28</v>
      </c>
      <c r="G85" s="101" t="s">
        <v>44</v>
      </c>
      <c r="H85" s="101" t="s">
        <v>29</v>
      </c>
      <c r="I85" s="119" t="s">
        <v>51</v>
      </c>
      <c r="L85" s="18"/>
    </row>
    <row r="86" spans="2:12" ht="13.5" thickBot="1">
      <c r="B86" s="102">
        <f>+B82</f>
        <v>12600</v>
      </c>
      <c r="C86" s="103">
        <f>B86*C84</f>
        <v>580.86</v>
      </c>
      <c r="D86" s="183"/>
      <c r="E86" s="152">
        <v>0</v>
      </c>
      <c r="F86" s="103">
        <f>+F82</f>
        <v>870.3333333333334</v>
      </c>
      <c r="G86" s="104">
        <v>0</v>
      </c>
      <c r="H86" s="104">
        <f>+B86+C86+D86+F86+G86</f>
        <v>14051.193333333335</v>
      </c>
      <c r="I86" s="120">
        <f>+H77-H86</f>
        <v>1804.8239999999987</v>
      </c>
      <c r="L86" s="18"/>
    </row>
    <row r="87" spans="2:12" ht="13.5" thickBot="1">
      <c r="B87" s="93"/>
      <c r="D87" s="177"/>
      <c r="E87" s="49"/>
      <c r="F87" s="49"/>
      <c r="L87" s="18"/>
    </row>
    <row r="88" spans="2:12" ht="12.75">
      <c r="B88" s="95" t="s">
        <v>49</v>
      </c>
      <c r="C88" s="96">
        <v>0.1161</v>
      </c>
      <c r="D88" s="181"/>
      <c r="E88" s="97" t="str">
        <f>+E84</f>
        <v>Premio</v>
      </c>
      <c r="F88" s="97"/>
      <c r="G88" s="98" t="s">
        <v>38</v>
      </c>
      <c r="H88" s="98" t="s">
        <v>36</v>
      </c>
      <c r="I88" s="118" t="s">
        <v>50</v>
      </c>
      <c r="L88" s="18"/>
    </row>
    <row r="89" spans="2:12" ht="12.75">
      <c r="B89" s="99" t="s">
        <v>35</v>
      </c>
      <c r="C89" s="100" t="s">
        <v>34</v>
      </c>
      <c r="D89" s="182"/>
      <c r="E89" s="116" t="str">
        <f>+E85</f>
        <v>INAIL</v>
      </c>
      <c r="F89" s="100" t="s">
        <v>28</v>
      </c>
      <c r="G89" s="101" t="s">
        <v>44</v>
      </c>
      <c r="H89" s="101" t="s">
        <v>29</v>
      </c>
      <c r="I89" s="119" t="s">
        <v>51</v>
      </c>
      <c r="L89" s="18"/>
    </row>
    <row r="90" spans="2:12" ht="13.5" thickBot="1">
      <c r="B90" s="102">
        <f>+B86</f>
        <v>12600</v>
      </c>
      <c r="C90" s="103">
        <f>+B90*C88</f>
        <v>1462.86</v>
      </c>
      <c r="D90" s="183"/>
      <c r="E90" s="152">
        <v>0</v>
      </c>
      <c r="F90" s="103">
        <f>+F86</f>
        <v>870.3333333333334</v>
      </c>
      <c r="G90" s="104">
        <f>+G86</f>
        <v>0</v>
      </c>
      <c r="H90" s="104">
        <f>+B90+C90+F90+G90</f>
        <v>14933.193333333335</v>
      </c>
      <c r="I90" s="120">
        <f>+H77-H90</f>
        <v>922.8239999999987</v>
      </c>
      <c r="L90" s="18"/>
    </row>
    <row r="91" spans="2:12" ht="13.5" thickBot="1">
      <c r="B91" s="93" t="s">
        <v>47</v>
      </c>
      <c r="D91" s="177"/>
      <c r="E91" s="49"/>
      <c r="F91" s="49"/>
      <c r="L91" s="18"/>
    </row>
    <row r="92" spans="2:12" ht="15" customHeight="1" thickBot="1">
      <c r="B92" s="93" t="s">
        <v>52</v>
      </c>
      <c r="D92" s="177"/>
      <c r="E92" s="49"/>
      <c r="F92" s="49"/>
      <c r="I92" s="121">
        <f>+I82+I86+I90</f>
        <v>4721.471999999996</v>
      </c>
      <c r="L92" s="18"/>
    </row>
    <row r="93" spans="2:12" ht="12.75">
      <c r="B93" s="93" t="s">
        <v>59</v>
      </c>
      <c r="D93" s="177"/>
      <c r="E93" s="49"/>
      <c r="F93" s="49"/>
      <c r="L93" s="18"/>
    </row>
    <row r="94" spans="4:12" ht="12.75">
      <c r="D94" s="177"/>
      <c r="E94" s="49"/>
      <c r="F94" s="49"/>
      <c r="L94" s="18"/>
    </row>
    <row r="95" spans="4:12" ht="13.5" thickBot="1">
      <c r="D95" s="177"/>
      <c r="E95" s="49"/>
      <c r="F95" s="49"/>
      <c r="L95" s="18"/>
    </row>
    <row r="96" spans="2:8" ht="12.75">
      <c r="B96" s="122" t="s">
        <v>42</v>
      </c>
      <c r="C96" s="123">
        <v>0.2898</v>
      </c>
      <c r="D96" s="184" t="s">
        <v>45</v>
      </c>
      <c r="E96" s="124" t="s">
        <v>58</v>
      </c>
      <c r="F96" s="124"/>
      <c r="G96" s="125" t="s">
        <v>38</v>
      </c>
      <c r="H96" s="125" t="s">
        <v>36</v>
      </c>
    </row>
    <row r="97" spans="2:8" ht="12.75">
      <c r="B97" s="126" t="s">
        <v>35</v>
      </c>
      <c r="C97" s="127" t="s">
        <v>34</v>
      </c>
      <c r="D97" s="185">
        <v>3000</v>
      </c>
      <c r="E97" s="128" t="s">
        <v>56</v>
      </c>
      <c r="F97" s="127" t="s">
        <v>28</v>
      </c>
      <c r="G97" s="129" t="s">
        <v>44</v>
      </c>
      <c r="H97" s="129" t="s">
        <v>29</v>
      </c>
    </row>
    <row r="98" spans="2:9" ht="13.5" thickBot="1">
      <c r="B98" s="130">
        <v>26000</v>
      </c>
      <c r="C98" s="131">
        <f>B98*28.98%</f>
        <v>7534.8</v>
      </c>
      <c r="D98" s="186">
        <f>+C98-D97</f>
        <v>4534.8</v>
      </c>
      <c r="E98" s="131">
        <f>+(B98*0.044)+(B98*44/1000)*1%</f>
        <v>1155.44</v>
      </c>
      <c r="F98" s="131">
        <f>(B98/13.5)-(B98*0.5%)</f>
        <v>1795.9259259259259</v>
      </c>
      <c r="G98" s="132">
        <v>0</v>
      </c>
      <c r="H98" s="132">
        <f>+B98+D98+F98+E98</f>
        <v>33486.165925925925</v>
      </c>
      <c r="I98" s="71"/>
    </row>
    <row r="99" spans="2:8" ht="12.75">
      <c r="B99" s="94" t="s">
        <v>46</v>
      </c>
      <c r="C99" s="51"/>
      <c r="D99" s="172"/>
      <c r="E99" s="70"/>
      <c r="F99" s="70"/>
      <c r="G99" s="51"/>
      <c r="H99" s="51"/>
    </row>
    <row r="100" spans="2:12" ht="13.5" thickBot="1">
      <c r="B100" s="27"/>
      <c r="C100" s="51"/>
      <c r="D100" s="176"/>
      <c r="E100" s="51"/>
      <c r="F100" s="51"/>
      <c r="G100" s="51"/>
      <c r="H100" s="51"/>
      <c r="L100" s="18"/>
    </row>
    <row r="101" spans="2:9" ht="12.75">
      <c r="B101" s="82" t="s">
        <v>43</v>
      </c>
      <c r="C101" s="83">
        <v>0.0311</v>
      </c>
      <c r="D101" s="187"/>
      <c r="E101" s="84" t="str">
        <f>+E96</f>
        <v>Premio </v>
      </c>
      <c r="F101" s="84"/>
      <c r="G101" s="85" t="s">
        <v>38</v>
      </c>
      <c r="H101" s="85" t="s">
        <v>36</v>
      </c>
      <c r="I101" s="118" t="s">
        <v>50</v>
      </c>
    </row>
    <row r="102" spans="2:9" ht="12.75">
      <c r="B102" s="86" t="s">
        <v>35</v>
      </c>
      <c r="C102" s="87" t="s">
        <v>34</v>
      </c>
      <c r="D102" s="188"/>
      <c r="E102" s="117" t="s">
        <v>56</v>
      </c>
      <c r="F102" s="87" t="s">
        <v>28</v>
      </c>
      <c r="G102" s="88" t="s">
        <v>44</v>
      </c>
      <c r="H102" s="88" t="s">
        <v>29</v>
      </c>
      <c r="I102" s="119" t="s">
        <v>51</v>
      </c>
    </row>
    <row r="103" spans="2:9" ht="13.5" thickBot="1">
      <c r="B103" s="89">
        <v>26000</v>
      </c>
      <c r="C103" s="90">
        <f>B103*C101</f>
        <v>808.6</v>
      </c>
      <c r="D103" s="189"/>
      <c r="E103" s="152">
        <v>0</v>
      </c>
      <c r="F103" s="90">
        <f>(B103/13.5)-(B103*0.5%)</f>
        <v>1795.9259259259259</v>
      </c>
      <c r="G103" s="91">
        <v>0</v>
      </c>
      <c r="H103" s="91">
        <f>+B103+C103+D103+F103+G103</f>
        <v>28604.525925925926</v>
      </c>
      <c r="I103" s="120">
        <f>+H98-H103</f>
        <v>4881.639999999999</v>
      </c>
    </row>
    <row r="104" spans="4:12" ht="13.5" thickBot="1">
      <c r="D104" s="177"/>
      <c r="E104" s="49"/>
      <c r="F104" s="49"/>
      <c r="L104" s="18"/>
    </row>
    <row r="105" spans="2:9" ht="12.75">
      <c r="B105" s="82" t="s">
        <v>43</v>
      </c>
      <c r="C105" s="83">
        <v>0.0461</v>
      </c>
      <c r="D105" s="187"/>
      <c r="E105" s="84" t="str">
        <f>+E101</f>
        <v>Premio </v>
      </c>
      <c r="F105" s="84"/>
      <c r="G105" s="85" t="s">
        <v>38</v>
      </c>
      <c r="H105" s="85" t="s">
        <v>36</v>
      </c>
      <c r="I105" s="118" t="s">
        <v>50</v>
      </c>
    </row>
    <row r="106" spans="2:9" ht="12.75">
      <c r="B106" s="86" t="s">
        <v>35</v>
      </c>
      <c r="C106" s="87" t="s">
        <v>34</v>
      </c>
      <c r="D106" s="188"/>
      <c r="E106" s="117" t="s">
        <v>56</v>
      </c>
      <c r="F106" s="87" t="s">
        <v>28</v>
      </c>
      <c r="G106" s="88" t="s">
        <v>44</v>
      </c>
      <c r="H106" s="88" t="s">
        <v>29</v>
      </c>
      <c r="I106" s="119" t="s">
        <v>51</v>
      </c>
    </row>
    <row r="107" spans="2:9" ht="13.5" thickBot="1">
      <c r="B107" s="89">
        <v>26000</v>
      </c>
      <c r="C107" s="90">
        <f>B107*C105</f>
        <v>1198.6000000000001</v>
      </c>
      <c r="D107" s="189"/>
      <c r="E107" s="152">
        <v>0</v>
      </c>
      <c r="F107" s="90">
        <f>(B107/13.5)-(B107*0.5%)</f>
        <v>1795.9259259259259</v>
      </c>
      <c r="G107" s="91">
        <v>0</v>
      </c>
      <c r="H107" s="91">
        <f>+B107+C107+D107+F107+G107</f>
        <v>28994.525925925926</v>
      </c>
      <c r="I107" s="120">
        <f>+H98-H107</f>
        <v>4491.639999999999</v>
      </c>
    </row>
    <row r="108" ht="13.5" thickBot="1"/>
    <row r="109" spans="2:9" ht="12.75">
      <c r="B109" s="82" t="s">
        <v>43</v>
      </c>
      <c r="C109" s="83">
        <v>0.1161</v>
      </c>
      <c r="D109" s="187"/>
      <c r="E109" s="84" t="str">
        <f>+E105</f>
        <v>Premio </v>
      </c>
      <c r="F109" s="84"/>
      <c r="G109" s="85" t="s">
        <v>38</v>
      </c>
      <c r="H109" s="85" t="s">
        <v>36</v>
      </c>
      <c r="I109" s="118" t="s">
        <v>50</v>
      </c>
    </row>
    <row r="110" spans="2:9" ht="12.75">
      <c r="B110" s="86" t="s">
        <v>35</v>
      </c>
      <c r="C110" s="87" t="s">
        <v>34</v>
      </c>
      <c r="D110" s="188"/>
      <c r="E110" s="117" t="s">
        <v>56</v>
      </c>
      <c r="F110" s="87" t="s">
        <v>28</v>
      </c>
      <c r="G110" s="88" t="s">
        <v>44</v>
      </c>
      <c r="H110" s="88" t="s">
        <v>29</v>
      </c>
      <c r="I110" s="119" t="s">
        <v>51</v>
      </c>
    </row>
    <row r="111" spans="2:9" ht="13.5" thickBot="1">
      <c r="B111" s="89">
        <v>26000</v>
      </c>
      <c r="C111" s="90">
        <f>B111*11.61%</f>
        <v>3018.6</v>
      </c>
      <c r="D111" s="189"/>
      <c r="E111" s="152">
        <v>0</v>
      </c>
      <c r="F111" s="90">
        <f>(B111/13.5)-(B111*0.5%)</f>
        <v>1795.9259259259259</v>
      </c>
      <c r="G111" s="91">
        <v>0</v>
      </c>
      <c r="H111" s="91">
        <f>+B111+C111+D111+F111+G111</f>
        <v>30814.525925925926</v>
      </c>
      <c r="I111" s="120">
        <f>+H98-H111</f>
        <v>2671.6399999999994</v>
      </c>
    </row>
    <row r="112" ht="13.5" thickBot="1">
      <c r="B112" s="93" t="s">
        <v>47</v>
      </c>
    </row>
    <row r="113" spans="2:9" ht="15" customHeight="1" thickBot="1">
      <c r="B113" s="93" t="s">
        <v>52</v>
      </c>
      <c r="I113" s="121">
        <f>+I103+I107+I111</f>
        <v>12044.919999999998</v>
      </c>
    </row>
    <row r="114" ht="12.75">
      <c r="B114" s="93" t="s">
        <v>59</v>
      </c>
    </row>
    <row r="118" ht="12.75">
      <c r="E118" s="150"/>
    </row>
    <row r="119" ht="12.75">
      <c r="E119" s="151"/>
    </row>
    <row r="120" ht="12.75">
      <c r="E120" s="151"/>
    </row>
    <row r="127" spans="2:4" ht="25.5">
      <c r="B127" s="144">
        <v>320</v>
      </c>
      <c r="C127" s="145" t="s">
        <v>53</v>
      </c>
      <c r="D127" s="153"/>
    </row>
    <row r="128" spans="2:4" ht="38.25">
      <c r="B128" s="146">
        <v>321</v>
      </c>
      <c r="C128" s="147" t="s">
        <v>54</v>
      </c>
      <c r="D128" s="190">
        <v>44</v>
      </c>
    </row>
    <row r="129" spans="2:4" ht="25.5">
      <c r="B129" s="146">
        <v>322</v>
      </c>
      <c r="C129" s="147" t="s">
        <v>55</v>
      </c>
      <c r="D129" s="190">
        <v>33</v>
      </c>
    </row>
  </sheetData>
  <sheetProtection/>
  <mergeCells count="5">
    <mergeCell ref="B1:F1"/>
    <mergeCell ref="B3:D3"/>
    <mergeCell ref="B33:D33"/>
    <mergeCell ref="C36:F36"/>
    <mergeCell ref="C43:F43"/>
  </mergeCells>
  <printOptions gridLines="1"/>
  <pageMargins left="0.54" right="0.48" top="0.73" bottom="0.1968503937007874" header="0.73" footer="0.5118110236220472"/>
  <pageSetup fitToHeight="1" fitToWidth="1" horizontalDpi="300" verticalDpi="300" orientation="portrait" paperSize="9" scale="69" r:id="rId1"/>
  <colBreaks count="1" manualBreakCount="1">
    <brk id="9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RQ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Utente</cp:lastModifiedBy>
  <dcterms:created xsi:type="dcterms:W3CDTF">2005-10-24T12:50:53Z</dcterms:created>
  <dcterms:modified xsi:type="dcterms:W3CDTF">2018-01-19T16:19:49Z</dcterms:modified>
  <cp:category/>
  <cp:version/>
  <cp:contentType/>
  <cp:contentStatus/>
</cp:coreProperties>
</file>