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8915" windowHeight="5085" tabRatio="857" firstSheet="1" activeTab="1"/>
  </bookViews>
  <sheets>
    <sheet name="Festività" sheetId="1" state="hidden" r:id="rId1"/>
    <sheet name="Cred.Imp_4.0 2020" sheetId="2" r:id="rId2"/>
    <sheet name="Cred.Imp_4.0 2021" sheetId="3" r:id="rId3"/>
  </sheets>
  <definedNames>
    <definedName name="_xlnm._FilterDatabase" localSheetId="2" hidden="1">'Cred.Imp_4.0 2021'!$H$9:$H$21</definedName>
    <definedName name="_xlfn.AVERAGEIF" hidden="1">#NAME?</definedName>
    <definedName name="_xlfn.DAYS" hidden="1">#NAME?</definedName>
    <definedName name="_xlfn.IFERROR" hidden="1">#NAME?</definedName>
    <definedName name="_xlfn.SUMIFS" hidden="1">#NAME?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C</author>
  </authors>
  <commentList>
    <comment ref="D51" authorId="0">
      <text>
        <r>
          <rPr>
            <b/>
            <sz val="9"/>
            <rFont val="Calibri"/>
            <family val="2"/>
          </rPr>
          <t>1/5 l'anno per i materiali e 1/3 per gli immateriali</t>
        </r>
      </text>
    </comment>
    <comment ref="D52" authorId="0">
      <text>
        <r>
          <rPr>
            <b/>
            <sz val="9"/>
            <rFont val="Calibri"/>
            <family val="2"/>
          </rPr>
          <t>1/5 l'anno per i materiali e 1/3 per gli immateriali</t>
        </r>
      </text>
    </comment>
    <comment ref="D53" authorId="0">
      <text>
        <r>
          <rPr>
            <b/>
            <sz val="9"/>
            <rFont val="Calibri"/>
            <family val="2"/>
          </rPr>
          <t>1/5 l'anno per i materiali e 1/3 per gli immateriali</t>
        </r>
      </text>
    </comment>
    <comment ref="D54" authorId="0">
      <text>
        <r>
          <rPr>
            <b/>
            <sz val="9"/>
            <rFont val="Calibri"/>
            <family val="2"/>
          </rPr>
          <t>1/5 l'anno per i materiali e 1/3 per gli immateriali</t>
        </r>
      </text>
    </comment>
    <comment ref="D55" authorId="0">
      <text>
        <r>
          <rPr>
            <b/>
            <sz val="9"/>
            <rFont val="Calibri"/>
            <family val="2"/>
          </rPr>
          <t>1/5 l'anno per i materiali e 1/3 per gli immateriali</t>
        </r>
      </text>
    </comment>
    <comment ref="D56" authorId="0">
      <text>
        <r>
          <rPr>
            <b/>
            <sz val="9"/>
            <rFont val="Calibri"/>
            <family val="2"/>
          </rPr>
          <t>1/5 l'anno per i materiali e 1/3 per gli immateriali</t>
        </r>
      </text>
    </comment>
    <comment ref="E4" authorId="0">
      <text>
        <r>
          <rPr>
            <b/>
            <sz val="9"/>
            <rFont val="Calibri"/>
            <family val="2"/>
          </rPr>
          <t>C:</t>
        </r>
        <r>
          <rPr>
            <sz val="9"/>
            <rFont val="Calibri"/>
            <family val="2"/>
          </rPr>
          <t xml:space="preserve">
FINO A 2 MIL</t>
        </r>
      </text>
    </comment>
    <comment ref="E5" authorId="0">
      <text>
        <r>
          <rPr>
            <b/>
            <sz val="9"/>
            <rFont val="Calibri"/>
            <family val="2"/>
          </rPr>
          <t>C:</t>
        </r>
        <r>
          <rPr>
            <sz val="9"/>
            <rFont val="Calibri"/>
            <family val="2"/>
          </rPr>
          <t xml:space="preserve">
FINO A 1 MIL</t>
        </r>
      </text>
    </comment>
    <comment ref="F4" authorId="0">
      <text>
        <r>
          <rPr>
            <b/>
            <sz val="9"/>
            <rFont val="Calibri"/>
            <family val="2"/>
          </rPr>
          <t>C:</t>
        </r>
        <r>
          <rPr>
            <sz val="9"/>
            <rFont val="Calibri"/>
            <family val="2"/>
          </rPr>
          <t xml:space="preserve">
FINO A 2 MIL</t>
        </r>
      </text>
    </comment>
    <comment ref="F5" authorId="0">
      <text>
        <r>
          <rPr>
            <b/>
            <sz val="9"/>
            <rFont val="Calibri"/>
            <family val="2"/>
          </rPr>
          <t>C:</t>
        </r>
        <r>
          <rPr>
            <sz val="9"/>
            <rFont val="Calibri"/>
            <family val="2"/>
          </rPr>
          <t xml:space="preserve">
FINO A 1 MIL.</t>
        </r>
      </text>
    </comment>
    <comment ref="D7" authorId="0">
      <text>
        <r>
          <rPr>
            <b/>
            <sz val="9"/>
            <rFont val="Calibri"/>
            <family val="2"/>
          </rPr>
          <t>C:</t>
        </r>
        <r>
          <rPr>
            <sz val="9"/>
            <rFont val="Calibri"/>
            <family val="2"/>
          </rPr>
          <t xml:space="preserve">
FINO A 700.000 EURO</t>
        </r>
      </text>
    </comment>
    <comment ref="E7" authorId="0">
      <text>
        <r>
          <rPr>
            <b/>
            <sz val="9"/>
            <rFont val="Calibri"/>
            <family val="2"/>
          </rPr>
          <t>C:</t>
        </r>
        <r>
          <rPr>
            <sz val="9"/>
            <rFont val="Calibri"/>
            <family val="2"/>
          </rPr>
          <t xml:space="preserve">
FINO A 1 MIL</t>
        </r>
      </text>
    </comment>
    <comment ref="F7" authorId="0">
      <text>
        <r>
          <rPr>
            <b/>
            <sz val="9"/>
            <rFont val="Calibri"/>
            <family val="2"/>
          </rPr>
          <t>C:</t>
        </r>
        <r>
          <rPr>
            <sz val="9"/>
            <rFont val="Calibri"/>
            <family val="2"/>
          </rPr>
          <t xml:space="preserve">
FINO A 1 MIL.
</t>
        </r>
      </text>
    </comment>
    <comment ref="D6" authorId="0">
      <text>
        <r>
          <rPr>
            <b/>
            <sz val="9"/>
            <rFont val="Calibri"/>
            <family val="2"/>
          </rPr>
          <t>C:</t>
        </r>
        <r>
          <rPr>
            <sz val="9"/>
            <rFont val="Calibri"/>
            <family val="2"/>
          </rPr>
          <t xml:space="preserve">
40% FINO A 2,5 MIL E 20% FINO A 10 MIL</t>
        </r>
      </text>
    </comment>
    <comment ref="E6" authorId="0">
      <text>
        <r>
          <rPr>
            <b/>
            <sz val="9"/>
            <rFont val="Calibri"/>
            <family val="2"/>
          </rPr>
          <t>C:</t>
        </r>
        <r>
          <rPr>
            <sz val="9"/>
            <rFont val="Calibri"/>
            <family val="2"/>
          </rPr>
          <t xml:space="preserve">
50% FINO A 2,5 MIL; 30% DA 2,5 A 10 E 10% FINO A 20 MIL</t>
        </r>
      </text>
    </comment>
  </commentList>
</comments>
</file>

<file path=xl/comments3.xml><?xml version="1.0" encoding="utf-8"?>
<comments xmlns="http://schemas.openxmlformats.org/spreadsheetml/2006/main">
  <authors>
    <author>C</author>
  </authors>
  <commentList>
    <comment ref="E4" authorId="0">
      <text>
        <r>
          <rPr>
            <b/>
            <sz val="9"/>
            <rFont val="Calibri"/>
            <family val="2"/>
          </rPr>
          <t>C:</t>
        </r>
        <r>
          <rPr>
            <sz val="9"/>
            <rFont val="Calibri"/>
            <family val="2"/>
          </rPr>
          <t xml:space="preserve">
FINO A 2 MIL</t>
        </r>
      </text>
    </comment>
    <comment ref="F4" authorId="0">
      <text>
        <r>
          <rPr>
            <b/>
            <sz val="9"/>
            <rFont val="Calibri"/>
            <family val="2"/>
          </rPr>
          <t>C:</t>
        </r>
        <r>
          <rPr>
            <sz val="9"/>
            <rFont val="Calibri"/>
            <family val="2"/>
          </rPr>
          <t xml:space="preserve">
FINO A 2 MIL</t>
        </r>
      </text>
    </comment>
    <comment ref="E5" authorId="0">
      <text>
        <r>
          <rPr>
            <b/>
            <sz val="9"/>
            <rFont val="Calibri"/>
            <family val="2"/>
          </rPr>
          <t>C:</t>
        </r>
        <r>
          <rPr>
            <sz val="9"/>
            <rFont val="Calibri"/>
            <family val="2"/>
          </rPr>
          <t xml:space="preserve">
FINO A 1 MIL</t>
        </r>
      </text>
    </comment>
    <comment ref="F5" authorId="0">
      <text>
        <r>
          <rPr>
            <b/>
            <sz val="9"/>
            <rFont val="Calibri"/>
            <family val="2"/>
          </rPr>
          <t>C:</t>
        </r>
        <r>
          <rPr>
            <sz val="9"/>
            <rFont val="Calibri"/>
            <family val="2"/>
          </rPr>
          <t xml:space="preserve">
FINO A 1 MIL.</t>
        </r>
      </text>
    </comment>
    <comment ref="D7" authorId="0">
      <text>
        <r>
          <rPr>
            <b/>
            <sz val="9"/>
            <rFont val="Calibri"/>
            <family val="2"/>
          </rPr>
          <t>C:</t>
        </r>
        <r>
          <rPr>
            <sz val="9"/>
            <rFont val="Calibri"/>
            <family val="2"/>
          </rPr>
          <t xml:space="preserve">
FINO A 700.000 EURO</t>
        </r>
      </text>
    </comment>
    <comment ref="E7" authorId="0">
      <text>
        <r>
          <rPr>
            <b/>
            <sz val="9"/>
            <rFont val="Calibri"/>
            <family val="2"/>
          </rPr>
          <t>C:</t>
        </r>
        <r>
          <rPr>
            <sz val="9"/>
            <rFont val="Calibri"/>
            <family val="2"/>
          </rPr>
          <t xml:space="preserve">
FINO A 1 MIL</t>
        </r>
      </text>
    </comment>
    <comment ref="F7" authorId="0">
      <text>
        <r>
          <rPr>
            <b/>
            <sz val="9"/>
            <rFont val="Calibri"/>
            <family val="2"/>
          </rPr>
          <t>C:</t>
        </r>
        <r>
          <rPr>
            <sz val="9"/>
            <rFont val="Calibri"/>
            <family val="2"/>
          </rPr>
          <t xml:space="preserve">
FINO A 1 MIL.
</t>
        </r>
      </text>
    </comment>
    <comment ref="D26" authorId="0">
      <text>
        <r>
          <rPr>
            <b/>
            <sz val="9"/>
            <rFont val="Calibri"/>
            <family val="2"/>
          </rPr>
          <t xml:space="preserve">1/3 L'ANNO O SUBITO UNICA SOLUZIONE SE RICAVI &lt; 5.000.000 </t>
        </r>
      </text>
    </comment>
    <comment ref="D27" authorId="0">
      <text>
        <r>
          <rPr>
            <b/>
            <sz val="9"/>
            <rFont val="Calibri"/>
            <family val="2"/>
          </rPr>
          <t>1/5 l'anno per i materiali e 1/3 per gli immateriali</t>
        </r>
      </text>
    </comment>
    <comment ref="D28" authorId="0">
      <text>
        <r>
          <rPr>
            <b/>
            <sz val="9"/>
            <rFont val="Calibri"/>
            <family val="2"/>
          </rPr>
          <t>1/5 l'anno per i materiali e 1/3 per gli immateriali</t>
        </r>
      </text>
    </comment>
    <comment ref="D29" authorId="0">
      <text>
        <r>
          <rPr>
            <b/>
            <sz val="9"/>
            <rFont val="Calibri"/>
            <family val="2"/>
          </rPr>
          <t>1/5 l'anno per i materiali e 1/3 per gli immateriali</t>
        </r>
      </text>
    </comment>
    <comment ref="D30" authorId="0">
      <text>
        <r>
          <rPr>
            <b/>
            <sz val="9"/>
            <rFont val="Calibri"/>
            <family val="2"/>
          </rPr>
          <t>1/5 l'anno per i materiali e 1/3 per gli immateriali</t>
        </r>
      </text>
    </comment>
    <comment ref="D31" authorId="0">
      <text>
        <r>
          <rPr>
            <b/>
            <sz val="9"/>
            <rFont val="Calibri"/>
            <family val="2"/>
          </rPr>
          <t>1/5 l'anno per i materiali e 1/3 per gli immateriali</t>
        </r>
      </text>
    </comment>
    <comment ref="D32" authorId="0">
      <text>
        <r>
          <rPr>
            <b/>
            <sz val="9"/>
            <rFont val="Calibri"/>
            <family val="2"/>
          </rPr>
          <t>1/5 l'anno per i materiali e 1/3 per gli immateriali</t>
        </r>
      </text>
    </comment>
    <comment ref="D33" authorId="0">
      <text>
        <r>
          <rPr>
            <b/>
            <sz val="9"/>
            <rFont val="Calibri"/>
            <family val="2"/>
          </rPr>
          <t>1/5 l'anno per i materiali e 1/3 per gli immateriali</t>
        </r>
      </text>
    </comment>
    <comment ref="D34" authorId="0">
      <text>
        <r>
          <rPr>
            <b/>
            <sz val="9"/>
            <rFont val="Calibri"/>
            <family val="2"/>
          </rPr>
          <t>1/5 l'anno per i materiali e 1/3 per gli immateriali</t>
        </r>
      </text>
    </comment>
    <comment ref="D35" authorId="0">
      <text>
        <r>
          <rPr>
            <b/>
            <sz val="9"/>
            <rFont val="Calibri"/>
            <family val="2"/>
          </rPr>
          <t>1/5 l'anno per i materiali e 1/3 per gli immateriali</t>
        </r>
      </text>
    </comment>
    <comment ref="D36" authorId="0">
      <text>
        <r>
          <rPr>
            <b/>
            <sz val="9"/>
            <rFont val="Calibri"/>
            <family val="2"/>
          </rPr>
          <t>1/5 l'anno per i materiali e 1/3 per gli immateriali</t>
        </r>
      </text>
    </comment>
    <comment ref="D37" authorId="0">
      <text>
        <r>
          <rPr>
            <b/>
            <sz val="9"/>
            <rFont val="Calibri"/>
            <family val="2"/>
          </rPr>
          <t>1/5 l'anno per i materiali e 1/3 per gli immateriali</t>
        </r>
      </text>
    </comment>
    <comment ref="D38" authorId="0">
      <text>
        <r>
          <rPr>
            <b/>
            <sz val="9"/>
            <rFont val="Calibri"/>
            <family val="2"/>
          </rPr>
          <t>1/5 l'anno per i materiali e 1/3 per gli immateriali</t>
        </r>
      </text>
    </comment>
    <comment ref="D39" authorId="0">
      <text>
        <r>
          <rPr>
            <b/>
            <sz val="9"/>
            <rFont val="Calibri"/>
            <family val="2"/>
          </rPr>
          <t>1/5 l'anno per i materiali e 1/3 per gli immateriali</t>
        </r>
      </text>
    </comment>
    <comment ref="D40" authorId="0">
      <text>
        <r>
          <rPr>
            <b/>
            <sz val="9"/>
            <rFont val="Calibri"/>
            <family val="2"/>
          </rPr>
          <t>1/5 l'anno per i materiali e 1/3 per gli immateriali</t>
        </r>
      </text>
    </comment>
    <comment ref="D41" authorId="0">
      <text>
        <r>
          <rPr>
            <b/>
            <sz val="9"/>
            <rFont val="Calibri"/>
            <family val="2"/>
          </rPr>
          <t>1/5 l'anno per i materiali e 1/3 per gli immateriali</t>
        </r>
      </text>
    </comment>
    <comment ref="D42" authorId="0">
      <text>
        <r>
          <rPr>
            <b/>
            <sz val="9"/>
            <rFont val="Calibri"/>
            <family val="2"/>
          </rPr>
          <t>1/5 l'anno per i materiali e 1/3 per gli immateriali</t>
        </r>
      </text>
    </comment>
    <comment ref="D43" authorId="0">
      <text>
        <r>
          <rPr>
            <b/>
            <sz val="9"/>
            <rFont val="Calibri"/>
            <family val="2"/>
          </rPr>
          <t>1/5 l'anno per i materiali e 1/3 per gli immateriali</t>
        </r>
      </text>
    </comment>
  </commentList>
</comments>
</file>

<file path=xl/sharedStrings.xml><?xml version="1.0" encoding="utf-8"?>
<sst xmlns="http://schemas.openxmlformats.org/spreadsheetml/2006/main" count="175" uniqueCount="108">
  <si>
    <t>Capodanno o Primo dell'Anno</t>
  </si>
  <si>
    <t>Epifania o La Befana</t>
  </si>
  <si>
    <t>Pasqua</t>
  </si>
  <si>
    <t>Lunedì dell'Angelo o Pasquetta</t>
  </si>
  <si>
    <t>Anniversario della Liberazione</t>
  </si>
  <si>
    <t>Festa dei Lavoratori o Festa del Lavoro</t>
  </si>
  <si>
    <t>Festa della Repubblica</t>
  </si>
  <si>
    <t>Ferragosto o Assunzione</t>
  </si>
  <si>
    <t>Ognissanti o Tutti i Santi</t>
  </si>
  <si>
    <t>Immacolata Concezione</t>
  </si>
  <si>
    <t>Natale</t>
  </si>
  <si>
    <t>Santo Stefano</t>
  </si>
  <si>
    <t>Data</t>
  </si>
  <si>
    <t>Festività</t>
  </si>
  <si>
    <t>G</t>
  </si>
  <si>
    <t>nr.</t>
  </si>
  <si>
    <t>TIPOLOGIA</t>
  </si>
  <si>
    <t>FORNITORE</t>
  </si>
  <si>
    <t xml:space="preserve">scopo ordine </t>
  </si>
  <si>
    <t>importo ordine imponibile</t>
  </si>
  <si>
    <t>CREDITO 4.0</t>
  </si>
  <si>
    <t>IMPORTO</t>
  </si>
  <si>
    <t>aliquota amm.to</t>
  </si>
  <si>
    <t>MACCHINE E MACCHINARI</t>
  </si>
  <si>
    <t>IMPIANTO DI SELEZIONE E VAGLI (BINDER)</t>
  </si>
  <si>
    <t>IMPIANTI MECCANICI CIVILI</t>
  </si>
  <si>
    <t xml:space="preserve">IMPIANTO ARIA COMPRESSA </t>
  </si>
  <si>
    <t>IMPIANTO ELETTRICO  CIVILISTICO E TECNOLOGICO</t>
  </si>
  <si>
    <t>IMPIANTO FILTRAZIONE E ASPIRAZIONE</t>
  </si>
  <si>
    <t>SOFTWARE VERTICALE I SMART</t>
  </si>
  <si>
    <t>rilevazione credito 4.0 - altri ricavi</t>
  </si>
  <si>
    <t>anno</t>
  </si>
  <si>
    <t xml:space="preserve">quota  civilistica riscontata -  contributo c/impianti  </t>
  </si>
  <si>
    <t>risconto</t>
  </si>
  <si>
    <t>amm.to</t>
  </si>
  <si>
    <t xml:space="preserve"> quota  fiscale imponibile  IRES E IRAP</t>
  </si>
  <si>
    <t>variazione diminuzione  MODELLO REDDITI</t>
  </si>
  <si>
    <t>utilizzo in  compensazione - quadro RU</t>
  </si>
  <si>
    <t>ORDINI AGEVOLABILI AL 6% - BENI ORDINARI</t>
  </si>
  <si>
    <t>MACCHINE ELETTROMECCANICHE D'UFFICIO</t>
  </si>
  <si>
    <t>VENTICENTO  SRL</t>
  </si>
  <si>
    <t>PC PORTATILI</t>
  </si>
  <si>
    <t>macch elettr ufficio</t>
  </si>
  <si>
    <t>5A</t>
  </si>
  <si>
    <t>5B</t>
  </si>
  <si>
    <t>6A</t>
  </si>
  <si>
    <t>6B</t>
  </si>
  <si>
    <t>7A</t>
  </si>
  <si>
    <t>7B</t>
  </si>
  <si>
    <t>8A</t>
  </si>
  <si>
    <t>8B</t>
  </si>
  <si>
    <t>IMPIANTO FOTOVOLTAICO</t>
  </si>
  <si>
    <t>GG. Settimana
[1-lun_7-dom]</t>
  </si>
  <si>
    <t>PESE E MONTACARICHI</t>
  </si>
  <si>
    <t>SOFTWARE TENUTA CONTABILITA'</t>
  </si>
  <si>
    <t xml:space="preserve">BENI </t>
  </si>
  <si>
    <t>MISURA DEL CREDITO 4.0</t>
  </si>
  <si>
    <t>01.01.2020 - 15.11.2020</t>
  </si>
  <si>
    <t>01.01.2022 - 31.12.2022</t>
  </si>
  <si>
    <t>16.11.2020-31.12.2021 (30.06.2022)</t>
  </si>
  <si>
    <t>MATERIALI NUOVI NO 4.0</t>
  </si>
  <si>
    <t>IMMATERIALI NUOVI NO 4.0</t>
  </si>
  <si>
    <t>MATERIALI - ALL. A L. 160/2019 - 4.0</t>
  </si>
  <si>
    <t>IMMATERIALI - ALL. B L.160/2019 - 4.0</t>
  </si>
  <si>
    <t>50% - 30% - 10%</t>
  </si>
  <si>
    <t>40% - 20% - 10%</t>
  </si>
  <si>
    <t>40% - 20%</t>
  </si>
  <si>
    <t>PERIODO INVESTIMENTO</t>
  </si>
  <si>
    <t>ORDINI AGEVOLABILI - ANNO 2020</t>
  </si>
  <si>
    <t>ORDINI AGEVOLABILI - ANNO 2021</t>
  </si>
  <si>
    <t>RICAMBI</t>
  </si>
  <si>
    <t>PROGETTAZIONE IMPIANTO</t>
  </si>
  <si>
    <t>2,5 MIL</t>
  </si>
  <si>
    <t>2,5 MIL - 10 MIL</t>
  </si>
  <si>
    <t>credito 4.0 - altri ricavi</t>
  </si>
  <si>
    <t>CALCOLO RISCONTO credito 4.0 - altri ricavi</t>
  </si>
  <si>
    <r>
      <t xml:space="preserve">MATERIALI NUOVI </t>
    </r>
    <r>
      <rPr>
        <u val="single"/>
        <sz val="11"/>
        <color indexed="8"/>
        <rFont val="Arial"/>
        <family val="0"/>
      </rPr>
      <t>NO</t>
    </r>
    <r>
      <rPr>
        <sz val="11"/>
        <color indexed="8"/>
        <rFont val="Arial"/>
        <family val="2"/>
      </rPr>
      <t xml:space="preserve"> 4.0</t>
    </r>
  </si>
  <si>
    <r>
      <t xml:space="preserve">IMMATERIALI NUOVI </t>
    </r>
    <r>
      <rPr>
        <u val="single"/>
        <sz val="11"/>
        <color indexed="8"/>
        <rFont val="Arial"/>
        <family val="0"/>
      </rPr>
      <t>NO</t>
    </r>
    <r>
      <rPr>
        <sz val="11"/>
        <color indexed="8"/>
        <rFont val="Arial"/>
        <family val="2"/>
      </rPr>
      <t xml:space="preserve"> 4.0</t>
    </r>
  </si>
  <si>
    <r>
      <t xml:space="preserve">MATERIALI - ALL. A L. 160/2019 - </t>
    </r>
    <r>
      <rPr>
        <b/>
        <sz val="11"/>
        <color indexed="8"/>
        <rFont val="Arial"/>
        <family val="2"/>
      </rPr>
      <t>4.0</t>
    </r>
  </si>
  <si>
    <r>
      <t xml:space="preserve">IMMATERIALI - ALL. B L.160/2019 - </t>
    </r>
    <r>
      <rPr>
        <b/>
        <sz val="11"/>
        <color indexed="8"/>
        <rFont val="Arial"/>
        <family val="2"/>
      </rPr>
      <t>4.0</t>
    </r>
  </si>
  <si>
    <t>PLAFOND</t>
  </si>
  <si>
    <t>IMPORTO CONSUMATO</t>
  </si>
  <si>
    <t>impianto</t>
  </si>
  <si>
    <t>software</t>
  </si>
  <si>
    <t>totale</t>
  </si>
  <si>
    <t xml:space="preserve">amm.to software </t>
  </si>
  <si>
    <t xml:space="preserve"> contributo c/impianti  CE</t>
  </si>
  <si>
    <t>utilizzo in  compensazione F24 - quadro RU</t>
  </si>
  <si>
    <t>IMPIANTO</t>
  </si>
  <si>
    <t>OPERE CIVILI</t>
  </si>
  <si>
    <t xml:space="preserve">amm.to </t>
  </si>
  <si>
    <t xml:space="preserve">contributo c/impianti  </t>
  </si>
  <si>
    <t>FOTOVOLTAICO</t>
  </si>
  <si>
    <t>PESE</t>
  </si>
  <si>
    <t>utilizzo in  compensazione F24  - quadro RU</t>
  </si>
  <si>
    <t>OPPURE</t>
  </si>
  <si>
    <t>UNICA SOLUZIONE</t>
  </si>
  <si>
    <t>X</t>
  </si>
  <si>
    <t>Y</t>
  </si>
  <si>
    <t>Z</t>
  </si>
  <si>
    <t>H</t>
  </si>
  <si>
    <t>A</t>
  </si>
  <si>
    <t>B</t>
  </si>
  <si>
    <t>C</t>
  </si>
  <si>
    <t>D</t>
  </si>
  <si>
    <t>E</t>
  </si>
  <si>
    <t>J</t>
  </si>
  <si>
    <t>F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</si>
</sst>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\ &quot;t/h&quot;"/>
    <numFmt numFmtId="167" formatCode="0.0%"/>
    <numFmt numFmtId="168" formatCode="[$-410]dddd\ d\ mmmm\ yyyy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_(* #,##0_);_(* \(#,##0\);_(* &quot;-&quot;??_);_(@_)"/>
    <numFmt numFmtId="177" formatCode="_(* #,##0.00_);_(* \(#,##0.00\);_(* &quot;-&quot;??_);_(@_)"/>
    <numFmt numFmtId="178" formatCode="_-* #,##0\ _€_-;\-* #,##0\ _€_-;_-* &quot;-&quot;??\ _€_-;_-@_-"/>
    <numFmt numFmtId="179" formatCode="_-* #,##0.00\ [$€-410]_-;\-* #,##0.00\ [$€-410]_-;_-* &quot;-&quot;??\ [$€-410]_-;_-@_-"/>
    <numFmt numFmtId="180" formatCode="_-[$€-410]\ * #,##0.00_-;\-[$€-410]\ * #,##0.00_-;_-[$€-410]\ * &quot;-&quot;??_-;_-@_-"/>
    <numFmt numFmtId="181" formatCode="yyyy;@"/>
    <numFmt numFmtId="182" formatCode="#,##0,_ ;[Red]\(#,##0,\)\ "/>
    <numFmt numFmtId="183" formatCode="#,##0;[Red]\ \(#,##0\)"/>
    <numFmt numFmtId="184" formatCode="#,##0_ ;[Red]\-#,##0\ "/>
    <numFmt numFmtId="185" formatCode="d/m/yy;@"/>
    <numFmt numFmtId="186" formatCode="#,##0.00_ ;[Red]\-#,##0.00\ "/>
    <numFmt numFmtId="187" formatCode="_-* #,##0.0\ _€_-;\-* #,##0.0\ _€_-;_-* &quot;-&quot;??\ _€_-;_-@_-"/>
    <numFmt numFmtId="188" formatCode="_-* #,##0.0\ _€_-;\-* #,##0.0\ _€_-;_-* &quot;-&quot;?\ _€_-;_-@_-"/>
    <numFmt numFmtId="189" formatCode="yyyy\-mm\-dd;@"/>
    <numFmt numFmtId="190" formatCode="#,##0\ &quot;€&quot;"/>
    <numFmt numFmtId="191" formatCode="_-[$€-410]\ * #,##0_-;\-[$€-410]\ * #,##0_-;_-[$€-410]\ * &quot;-&quot;??_-;_-@_-"/>
    <numFmt numFmtId="192" formatCode="#,##0.00\ &quot;€&quot;"/>
    <numFmt numFmtId="193" formatCode="#,##0_ ;\-#,##0\ "/>
    <numFmt numFmtId="194" formatCode="0.000%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_-* #,##0.000_-;\-* #,##0.000_-;_-* &quot;-&quot;??_-;_-@_-"/>
    <numFmt numFmtId="198" formatCode="mmm\-yyyy"/>
    <numFmt numFmtId="199" formatCode="0.00000"/>
    <numFmt numFmtId="200" formatCode="0.0000"/>
    <numFmt numFmtId="201" formatCode="0.000"/>
    <numFmt numFmtId="202" formatCode="#,##0.0\ &quot;€&quot;"/>
    <numFmt numFmtId="203" formatCode="_-* #,##0.000\ &quot;€&quot;_-;\-* #,##0.000\ &quot;€&quot;_-;_-* &quot;-&quot;??\ &quot;€&quot;_-;_-@_-"/>
    <numFmt numFmtId="204" formatCode="_-* #,##0.0000\ &quot;€&quot;_-;\-* #,##0.0000\ &quot;€&quot;_-;_-* &quot;-&quot;??\ &quot;€&quot;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Arial"/>
      <family val="0"/>
    </font>
    <font>
      <b/>
      <sz val="16"/>
      <name val="Arial"/>
      <family val="0"/>
    </font>
    <font>
      <sz val="9"/>
      <name val="Calibri"/>
      <family val="2"/>
    </font>
    <font>
      <b/>
      <sz val="12"/>
      <name val="Arial"/>
      <family val="0"/>
    </font>
    <font>
      <sz val="12"/>
      <name val="Arial"/>
      <family val="0"/>
    </font>
    <font>
      <u val="single"/>
      <sz val="11"/>
      <color indexed="8"/>
      <name val="Arial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20"/>
      <color indexed="9"/>
      <name val="Arial"/>
      <family val="2"/>
    </font>
    <font>
      <b/>
      <sz val="20"/>
      <color indexed="9"/>
      <name val="Calibri"/>
      <family val="2"/>
    </font>
    <font>
      <b/>
      <sz val="16"/>
      <color indexed="9"/>
      <name val="Arial"/>
      <family val="2"/>
    </font>
    <font>
      <sz val="12"/>
      <color indexed="8"/>
      <name val="Calibri"/>
      <family val="2"/>
    </font>
    <font>
      <b/>
      <sz val="18"/>
      <name val="Calibri"/>
      <family val="0"/>
    </font>
    <font>
      <sz val="10"/>
      <color indexed="8"/>
      <name val="Arial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i/>
      <sz val="11"/>
      <color indexed="8"/>
      <name val="Arial"/>
      <family val="0"/>
    </font>
    <font>
      <sz val="8"/>
      <name val="Segoe UI"/>
      <family val="2"/>
    </font>
    <font>
      <u val="single"/>
      <sz val="11"/>
      <color indexed="25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b/>
      <sz val="20"/>
      <color theme="0"/>
      <name val="Arial"/>
      <family val="2"/>
    </font>
    <font>
      <b/>
      <sz val="20"/>
      <color theme="0"/>
      <name val="Calibri"/>
      <family val="2"/>
    </font>
    <font>
      <b/>
      <sz val="11"/>
      <color theme="1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0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i/>
      <sz val="11"/>
      <color theme="1"/>
      <name val="Arial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64" fillId="0" borderId="0" xfId="0" applyFont="1" applyAlignment="1">
      <alignment/>
    </xf>
    <xf numFmtId="1" fontId="64" fillId="0" borderId="10" xfId="0" applyNumberFormat="1" applyFont="1" applyBorder="1" applyAlignment="1">
      <alignment/>
    </xf>
    <xf numFmtId="14" fontId="64" fillId="0" borderId="0" xfId="0" applyNumberFormat="1" applyFont="1" applyAlignment="1">
      <alignment/>
    </xf>
    <xf numFmtId="14" fontId="64" fillId="33" borderId="10" xfId="0" applyNumberFormat="1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14" fontId="65" fillId="0" borderId="10" xfId="0" applyNumberFormat="1" applyFont="1" applyBorder="1" applyAlignment="1">
      <alignment horizontal="center" wrapText="1"/>
    </xf>
    <xf numFmtId="14" fontId="65" fillId="0" borderId="10" xfId="0" applyNumberFormat="1" applyFont="1" applyBorder="1" applyAlignment="1">
      <alignment horizontal="center" vertical="center"/>
    </xf>
    <xf numFmtId="193" fontId="64" fillId="33" borderId="10" xfId="45" applyNumberFormat="1" applyFont="1" applyFill="1" applyBorder="1" applyAlignment="1">
      <alignment horizontal="center" vertical="center"/>
    </xf>
    <xf numFmtId="190" fontId="0" fillId="0" borderId="0" xfId="0" applyNumberFormat="1" applyAlignment="1">
      <alignment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190" fontId="0" fillId="0" borderId="0" xfId="0" applyNumberFormat="1" applyAlignment="1">
      <alignment horizont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10" xfId="0" applyFont="1" applyBorder="1" applyAlignment="1">
      <alignment horizontal="center" vertical="center"/>
    </xf>
    <xf numFmtId="190" fontId="69" fillId="0" borderId="10" xfId="0" applyNumberFormat="1" applyFont="1" applyBorder="1" applyAlignment="1">
      <alignment horizontal="center" vertical="center" wrapText="1"/>
    </xf>
    <xf numFmtId="180" fontId="69" fillId="0" borderId="10" xfId="0" applyNumberFormat="1" applyFont="1" applyBorder="1" applyAlignment="1">
      <alignment horizontal="center" vertical="center"/>
    </xf>
    <xf numFmtId="180" fontId="69" fillId="0" borderId="0" xfId="0" applyNumberFormat="1" applyFont="1" applyAlignment="1">
      <alignment horizontal="center" vertical="center"/>
    </xf>
    <xf numFmtId="190" fontId="66" fillId="0" borderId="10" xfId="0" applyNumberFormat="1" applyFont="1" applyBorder="1" applyAlignment="1">
      <alignment horizontal="center" vertical="center" wrapText="1"/>
    </xf>
    <xf numFmtId="180" fontId="66" fillId="0" borderId="10" xfId="0" applyNumberFormat="1" applyFont="1" applyBorder="1" applyAlignment="1">
      <alignment horizontal="center" vertical="center"/>
    </xf>
    <xf numFmtId="44" fontId="66" fillId="0" borderId="0" xfId="62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190" fontId="66" fillId="0" borderId="10" xfId="0" applyNumberFormat="1" applyFont="1" applyBorder="1" applyAlignment="1">
      <alignment horizontal="center" vertical="center"/>
    </xf>
    <xf numFmtId="190" fontId="55" fillId="0" borderId="0" xfId="0" applyNumberFormat="1" applyFont="1" applyAlignment="1">
      <alignment/>
    </xf>
    <xf numFmtId="190" fontId="3" fillId="0" borderId="10" xfId="0" applyNumberFormat="1" applyFont="1" applyBorder="1" applyAlignment="1">
      <alignment horizontal="center" vertical="center"/>
    </xf>
    <xf numFmtId="190" fontId="70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191" fontId="69" fillId="0" borderId="10" xfId="0" applyNumberFormat="1" applyFont="1" applyBorder="1" applyAlignment="1">
      <alignment horizontal="center"/>
    </xf>
    <xf numFmtId="190" fontId="66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5" borderId="10" xfId="0" applyFont="1" applyFill="1" applyBorder="1" applyAlignment="1">
      <alignment horizontal="center" vertical="center"/>
    </xf>
    <xf numFmtId="180" fontId="69" fillId="5" borderId="10" xfId="0" applyNumberFormat="1" applyFont="1" applyFill="1" applyBorder="1" applyAlignment="1">
      <alignment horizontal="center" vertical="center" wrapText="1"/>
    </xf>
    <xf numFmtId="190" fontId="51" fillId="0" borderId="0" xfId="0" applyNumberFormat="1" applyFont="1" applyAlignment="1">
      <alignment/>
    </xf>
    <xf numFmtId="0" fontId="69" fillId="0" borderId="10" xfId="0" applyFont="1" applyBorder="1" applyAlignment="1">
      <alignment horizontal="center"/>
    </xf>
    <xf numFmtId="180" fontId="66" fillId="9" borderId="10" xfId="0" applyNumberFormat="1" applyFont="1" applyFill="1" applyBorder="1" applyAlignment="1">
      <alignment horizontal="center"/>
    </xf>
    <xf numFmtId="180" fontId="66" fillId="0" borderId="10" xfId="0" applyNumberFormat="1" applyFont="1" applyBorder="1" applyAlignment="1">
      <alignment horizontal="center"/>
    </xf>
    <xf numFmtId="190" fontId="66" fillId="0" borderId="10" xfId="0" applyNumberFormat="1" applyFont="1" applyBorder="1" applyAlignment="1">
      <alignment horizontal="center"/>
    </xf>
    <xf numFmtId="44" fontId="66" fillId="0" borderId="10" xfId="62" applyFon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92" fontId="66" fillId="0" borderId="0" xfId="0" applyNumberFormat="1" applyFont="1" applyAlignment="1">
      <alignment horizontal="center" vertical="center"/>
    </xf>
    <xf numFmtId="0" fontId="66" fillId="5" borderId="0" xfId="0" applyFont="1" applyFill="1" applyAlignment="1">
      <alignment horizontal="center" vertical="center"/>
    </xf>
    <xf numFmtId="180" fontId="0" fillId="5" borderId="0" xfId="0" applyNumberFormat="1" applyFill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7" fillId="13" borderId="10" xfId="0" applyFont="1" applyFill="1" applyBorder="1" applyAlignment="1">
      <alignment vertical="center"/>
    </xf>
    <xf numFmtId="0" fontId="67" fillId="13" borderId="10" xfId="0" applyFont="1" applyFill="1" applyBorder="1" applyAlignment="1">
      <alignment vertical="center"/>
    </xf>
    <xf numFmtId="9" fontId="66" fillId="0" borderId="10" xfId="51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left" vertical="center"/>
    </xf>
    <xf numFmtId="190" fontId="7" fillId="13" borderId="10" xfId="0" applyNumberFormat="1" applyFont="1" applyFill="1" applyBorder="1" applyAlignment="1">
      <alignment horizontal="center" vertical="center"/>
    </xf>
    <xf numFmtId="180" fontId="66" fillId="13" borderId="10" xfId="0" applyNumberFormat="1" applyFont="1" applyFill="1" applyBorder="1" applyAlignment="1">
      <alignment horizontal="center"/>
    </xf>
    <xf numFmtId="0" fontId="66" fillId="0" borderId="10" xfId="0" applyFont="1" applyBorder="1" applyAlignment="1">
      <alignment horizontal="left" vertical="center"/>
    </xf>
    <xf numFmtId="9" fontId="66" fillId="0" borderId="10" xfId="0" applyNumberFormat="1" applyFont="1" applyBorder="1" applyAlignment="1">
      <alignment horizontal="center" vertical="center"/>
    </xf>
    <xf numFmtId="0" fontId="69" fillId="13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44" fontId="66" fillId="0" borderId="0" xfId="62" applyFont="1" applyAlignment="1">
      <alignment horizontal="center" vertical="center"/>
    </xf>
    <xf numFmtId="0" fontId="9" fillId="13" borderId="12" xfId="0" applyFont="1" applyFill="1" applyBorder="1" applyAlignment="1">
      <alignment vertical="center"/>
    </xf>
    <xf numFmtId="0" fontId="72" fillId="13" borderId="13" xfId="0" applyFont="1" applyFill="1" applyBorder="1" applyAlignment="1">
      <alignment vertical="center"/>
    </xf>
    <xf numFmtId="0" fontId="73" fillId="0" borderId="14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190" fontId="73" fillId="0" borderId="10" xfId="0" applyNumberFormat="1" applyFont="1" applyBorder="1" applyAlignment="1">
      <alignment horizontal="center" vertical="center" wrapText="1"/>
    </xf>
    <xf numFmtId="180" fontId="73" fillId="0" borderId="15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6" xfId="0" applyFont="1" applyBorder="1" applyAlignment="1">
      <alignment horizontal="left" vertical="center"/>
    </xf>
    <xf numFmtId="0" fontId="74" fillId="0" borderId="10" xfId="0" applyFont="1" applyBorder="1" applyAlignment="1">
      <alignment horizontal="center" vertical="center" wrapText="1"/>
    </xf>
    <xf numFmtId="44" fontId="74" fillId="0" borderId="10" xfId="62" applyFont="1" applyFill="1" applyBorder="1" applyAlignment="1">
      <alignment vertical="center" wrapText="1"/>
    </xf>
    <xf numFmtId="9" fontId="75" fillId="0" borderId="17" xfId="51" applyFont="1" applyFill="1" applyBorder="1" applyAlignment="1">
      <alignment horizontal="center" vertical="center"/>
    </xf>
    <xf numFmtId="0" fontId="76" fillId="13" borderId="18" xfId="0" applyFont="1" applyFill="1" applyBorder="1" applyAlignment="1">
      <alignment horizontal="center" vertical="center"/>
    </xf>
    <xf numFmtId="0" fontId="76" fillId="13" borderId="19" xfId="0" applyFont="1" applyFill="1" applyBorder="1" applyAlignment="1">
      <alignment horizontal="left" vertical="center"/>
    </xf>
    <xf numFmtId="0" fontId="76" fillId="13" borderId="19" xfId="0" applyFont="1" applyFill="1" applyBorder="1" applyAlignment="1">
      <alignment horizontal="center" vertical="center"/>
    </xf>
    <xf numFmtId="190" fontId="9" fillId="13" borderId="19" xfId="0" applyNumberFormat="1" applyFont="1" applyFill="1" applyBorder="1" applyAlignment="1">
      <alignment horizontal="center" vertical="center"/>
    </xf>
    <xf numFmtId="0" fontId="72" fillId="13" borderId="19" xfId="0" applyFont="1" applyFill="1" applyBorder="1" applyAlignment="1">
      <alignment horizontal="center" vertical="center"/>
    </xf>
    <xf numFmtId="190" fontId="72" fillId="13" borderId="19" xfId="0" applyNumberFormat="1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left" vertical="center"/>
    </xf>
    <xf numFmtId="190" fontId="9" fillId="1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190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9" fontId="0" fillId="0" borderId="10" xfId="51" applyFont="1" applyFill="1" applyBorder="1" applyAlignment="1">
      <alignment horizontal="center" vertical="center"/>
    </xf>
    <xf numFmtId="167" fontId="0" fillId="0" borderId="10" xfId="51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190" fontId="66" fillId="0" borderId="20" xfId="0" applyNumberFormat="1" applyFont="1" applyBorder="1" applyAlignment="1">
      <alignment vertical="center"/>
    </xf>
    <xf numFmtId="0" fontId="69" fillId="0" borderId="0" xfId="0" applyFont="1" applyAlignment="1">
      <alignment horizontal="right" vertical="center"/>
    </xf>
    <xf numFmtId="0" fontId="31" fillId="13" borderId="10" xfId="0" applyFont="1" applyFill="1" applyBorder="1" applyAlignment="1">
      <alignment vertical="center"/>
    </xf>
    <xf numFmtId="0" fontId="69" fillId="7" borderId="10" xfId="0" applyFont="1" applyFill="1" applyBorder="1" applyAlignment="1">
      <alignment horizontal="center" vertical="center"/>
    </xf>
    <xf numFmtId="190" fontId="69" fillId="7" borderId="10" xfId="0" applyNumberFormat="1" applyFont="1" applyFill="1" applyBorder="1" applyAlignment="1">
      <alignment horizontal="center" vertical="center" wrapText="1"/>
    </xf>
    <xf numFmtId="180" fontId="69" fillId="7" borderId="10" xfId="0" applyNumberFormat="1" applyFont="1" applyFill="1" applyBorder="1" applyAlignment="1">
      <alignment horizontal="center" vertical="center"/>
    </xf>
    <xf numFmtId="44" fontId="66" fillId="0" borderId="0" xfId="62" applyFont="1" applyAlignment="1">
      <alignment vertical="center"/>
    </xf>
    <xf numFmtId="190" fontId="66" fillId="0" borderId="20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9" fontId="66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9" fillId="0" borderId="11" xfId="0" applyFont="1" applyBorder="1" applyAlignment="1">
      <alignment horizontal="right" vertical="center"/>
    </xf>
    <xf numFmtId="190" fontId="69" fillId="0" borderId="20" xfId="0" applyNumberFormat="1" applyFont="1" applyBorder="1" applyAlignment="1">
      <alignment horizontal="right" vertical="center"/>
    </xf>
    <xf numFmtId="190" fontId="69" fillId="0" borderId="0" xfId="0" applyNumberFormat="1" applyFont="1" applyBorder="1" applyAlignment="1">
      <alignment horizontal="right" vertical="center"/>
    </xf>
    <xf numFmtId="180" fontId="69" fillId="0" borderId="0" xfId="0" applyNumberFormat="1" applyFont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B2:R14"/>
  <sheetViews>
    <sheetView showGridLines="0" zoomScalePageLayoutView="0" workbookViewId="0" topLeftCell="A1">
      <selection activeCell="M16" sqref="M16"/>
    </sheetView>
  </sheetViews>
  <sheetFormatPr defaultColWidth="9.140625" defaultRowHeight="15"/>
  <cols>
    <col min="1" max="1" width="11.421875" style="1" customWidth="1"/>
    <col min="2" max="2" width="13.421875" style="3" bestFit="1" customWidth="1"/>
    <col min="3" max="3" width="9.8515625" style="3" bestFit="1" customWidth="1"/>
    <col min="4" max="4" width="32.00390625" style="1" bestFit="1" customWidth="1"/>
    <col min="5" max="5" width="11.421875" style="1" customWidth="1"/>
    <col min="6" max="6" width="8.421875" style="1" bestFit="1" customWidth="1"/>
    <col min="7" max="17" width="6.8515625" style="1" customWidth="1"/>
    <col min="18" max="16384" width="11.421875" style="1" customWidth="1"/>
  </cols>
  <sheetData>
    <row r="2" spans="2:17" ht="33">
      <c r="B2" s="10" t="s">
        <v>52</v>
      </c>
      <c r="C2" s="11" t="s">
        <v>12</v>
      </c>
      <c r="D2" s="9" t="s">
        <v>13</v>
      </c>
      <c r="F2" s="9">
        <v>1</v>
      </c>
      <c r="G2" s="9">
        <v>2</v>
      </c>
      <c r="H2" s="9">
        <v>3</v>
      </c>
      <c r="I2" s="9">
        <v>4</v>
      </c>
      <c r="J2" s="9">
        <v>5</v>
      </c>
      <c r="K2" s="9">
        <v>6</v>
      </c>
      <c r="L2" s="9">
        <v>7</v>
      </c>
      <c r="M2" s="9">
        <v>8</v>
      </c>
      <c r="N2" s="9">
        <v>9</v>
      </c>
      <c r="O2" s="9">
        <v>10</v>
      </c>
      <c r="P2" s="9">
        <v>11</v>
      </c>
      <c r="Q2" s="9">
        <v>12</v>
      </c>
    </row>
    <row r="3" spans="2:18" ht="16.5">
      <c r="B3" s="12">
        <f>WEEKDAY(C3,2)</f>
        <v>5</v>
      </c>
      <c r="C3" s="4">
        <v>44197</v>
      </c>
      <c r="D3" s="5" t="s">
        <v>0</v>
      </c>
      <c r="F3" s="2">
        <f>IF(MONTH($C3)=F$2,$C3,0)</f>
        <v>44197</v>
      </c>
      <c r="G3" s="2">
        <f aca="true" t="shared" si="0" ref="G3:Q3">IF(MONTH($C3)=G$2,$C3,0)</f>
        <v>0</v>
      </c>
      <c r="H3" s="2">
        <f t="shared" si="0"/>
        <v>0</v>
      </c>
      <c r="I3" s="2">
        <f t="shared" si="0"/>
        <v>0</v>
      </c>
      <c r="J3" s="2">
        <f t="shared" si="0"/>
        <v>0</v>
      </c>
      <c r="K3" s="2">
        <f t="shared" si="0"/>
        <v>0</v>
      </c>
      <c r="L3" s="2">
        <f t="shared" si="0"/>
        <v>0</v>
      </c>
      <c r="M3" s="2">
        <f t="shared" si="0"/>
        <v>0</v>
      </c>
      <c r="N3" s="2">
        <f t="shared" si="0"/>
        <v>0</v>
      </c>
      <c r="O3" s="2">
        <f t="shared" si="0"/>
        <v>0</v>
      </c>
      <c r="P3" s="2">
        <f t="shared" si="0"/>
        <v>0</v>
      </c>
      <c r="Q3" s="2">
        <f t="shared" si="0"/>
        <v>0</v>
      </c>
      <c r="R3" s="3">
        <f aca="true" t="shared" si="1" ref="R3:R8">IF(MONTH($C3)=R$2,$C3,"")</f>
      </c>
    </row>
    <row r="4" spans="2:18" ht="16.5">
      <c r="B4" s="12">
        <f aca="true" t="shared" si="2" ref="B4:B14">WEEKDAY(C4,2)</f>
        <v>3</v>
      </c>
      <c r="C4" s="4">
        <v>44202</v>
      </c>
      <c r="D4" s="5" t="s">
        <v>1</v>
      </c>
      <c r="F4" s="2">
        <f aca="true" t="shared" si="3" ref="F4:Q14">IF(MONTH($C4)=F$2,$C4,0)</f>
        <v>44202</v>
      </c>
      <c r="G4" s="2">
        <f t="shared" si="3"/>
        <v>0</v>
      </c>
      <c r="H4" s="2">
        <f t="shared" si="3"/>
        <v>0</v>
      </c>
      <c r="I4" s="2">
        <f t="shared" si="3"/>
        <v>0</v>
      </c>
      <c r="J4" s="2">
        <f t="shared" si="3"/>
        <v>0</v>
      </c>
      <c r="K4" s="2">
        <f t="shared" si="3"/>
        <v>0</v>
      </c>
      <c r="L4" s="2">
        <f t="shared" si="3"/>
        <v>0</v>
      </c>
      <c r="M4" s="2">
        <f t="shared" si="3"/>
        <v>0</v>
      </c>
      <c r="N4" s="2">
        <f t="shared" si="3"/>
        <v>0</v>
      </c>
      <c r="O4" s="2">
        <f t="shared" si="3"/>
        <v>0</v>
      </c>
      <c r="P4" s="2">
        <f t="shared" si="3"/>
        <v>0</v>
      </c>
      <c r="Q4" s="2">
        <f t="shared" si="3"/>
        <v>0</v>
      </c>
      <c r="R4" s="3">
        <f t="shared" si="1"/>
      </c>
    </row>
    <row r="5" spans="2:18" ht="16.5">
      <c r="B5" s="12">
        <f t="shared" si="2"/>
        <v>7</v>
      </c>
      <c r="C5" s="4">
        <v>44290</v>
      </c>
      <c r="D5" s="5" t="s">
        <v>2</v>
      </c>
      <c r="F5" s="2">
        <f t="shared" si="3"/>
        <v>0</v>
      </c>
      <c r="G5" s="2">
        <f t="shared" si="3"/>
        <v>0</v>
      </c>
      <c r="H5" s="2">
        <f t="shared" si="3"/>
        <v>0</v>
      </c>
      <c r="I5" s="2">
        <f t="shared" si="3"/>
        <v>44290</v>
      </c>
      <c r="J5" s="2">
        <f t="shared" si="3"/>
        <v>0</v>
      </c>
      <c r="K5" s="2">
        <f t="shared" si="3"/>
        <v>0</v>
      </c>
      <c r="L5" s="2">
        <f t="shared" si="3"/>
        <v>0</v>
      </c>
      <c r="M5" s="2">
        <f t="shared" si="3"/>
        <v>0</v>
      </c>
      <c r="N5" s="2">
        <f t="shared" si="3"/>
        <v>0</v>
      </c>
      <c r="O5" s="2">
        <f t="shared" si="3"/>
        <v>0</v>
      </c>
      <c r="P5" s="2">
        <f t="shared" si="3"/>
        <v>0</v>
      </c>
      <c r="Q5" s="2">
        <f t="shared" si="3"/>
        <v>0</v>
      </c>
      <c r="R5" s="3">
        <f t="shared" si="1"/>
      </c>
    </row>
    <row r="6" spans="2:18" ht="16.5">
      <c r="B6" s="12">
        <f t="shared" si="2"/>
        <v>1</v>
      </c>
      <c r="C6" s="4">
        <v>44291</v>
      </c>
      <c r="D6" s="5" t="s">
        <v>3</v>
      </c>
      <c r="F6" s="2">
        <f t="shared" si="3"/>
        <v>0</v>
      </c>
      <c r="G6" s="2">
        <f t="shared" si="3"/>
        <v>0</v>
      </c>
      <c r="H6" s="2">
        <f t="shared" si="3"/>
        <v>0</v>
      </c>
      <c r="I6" s="2">
        <f t="shared" si="3"/>
        <v>44291</v>
      </c>
      <c r="J6" s="2">
        <f t="shared" si="3"/>
        <v>0</v>
      </c>
      <c r="K6" s="2">
        <f t="shared" si="3"/>
        <v>0</v>
      </c>
      <c r="L6" s="2">
        <f t="shared" si="3"/>
        <v>0</v>
      </c>
      <c r="M6" s="2">
        <f t="shared" si="3"/>
        <v>0</v>
      </c>
      <c r="N6" s="2">
        <f t="shared" si="3"/>
        <v>0</v>
      </c>
      <c r="O6" s="2">
        <f t="shared" si="3"/>
        <v>0</v>
      </c>
      <c r="P6" s="2">
        <f t="shared" si="3"/>
        <v>0</v>
      </c>
      <c r="Q6" s="2">
        <f t="shared" si="3"/>
        <v>0</v>
      </c>
      <c r="R6" s="3">
        <f t="shared" si="1"/>
      </c>
    </row>
    <row r="7" spans="2:18" ht="16.5">
      <c r="B7" s="12">
        <f t="shared" si="2"/>
        <v>7</v>
      </c>
      <c r="C7" s="4">
        <v>44311</v>
      </c>
      <c r="D7" s="5" t="s">
        <v>4</v>
      </c>
      <c r="F7" s="2">
        <f t="shared" si="3"/>
        <v>0</v>
      </c>
      <c r="G7" s="2">
        <f t="shared" si="3"/>
        <v>0</v>
      </c>
      <c r="H7" s="2">
        <f t="shared" si="3"/>
        <v>0</v>
      </c>
      <c r="I7" s="2">
        <f t="shared" si="3"/>
        <v>44311</v>
      </c>
      <c r="J7" s="2">
        <f t="shared" si="3"/>
        <v>0</v>
      </c>
      <c r="K7" s="2">
        <f t="shared" si="3"/>
        <v>0</v>
      </c>
      <c r="L7" s="2">
        <f t="shared" si="3"/>
        <v>0</v>
      </c>
      <c r="M7" s="2">
        <f t="shared" si="3"/>
        <v>0</v>
      </c>
      <c r="N7" s="2">
        <f t="shared" si="3"/>
        <v>0</v>
      </c>
      <c r="O7" s="2">
        <f t="shared" si="3"/>
        <v>0</v>
      </c>
      <c r="P7" s="2">
        <f t="shared" si="3"/>
        <v>0</v>
      </c>
      <c r="Q7" s="2">
        <f t="shared" si="3"/>
        <v>0</v>
      </c>
      <c r="R7" s="3">
        <f t="shared" si="1"/>
      </c>
    </row>
    <row r="8" spans="2:18" ht="16.5">
      <c r="B8" s="12">
        <f t="shared" si="2"/>
        <v>6</v>
      </c>
      <c r="C8" s="4">
        <v>44317</v>
      </c>
      <c r="D8" s="5" t="s">
        <v>5</v>
      </c>
      <c r="F8" s="2">
        <f t="shared" si="3"/>
        <v>0</v>
      </c>
      <c r="G8" s="2">
        <f t="shared" si="3"/>
        <v>0</v>
      </c>
      <c r="H8" s="2">
        <f t="shared" si="3"/>
        <v>0</v>
      </c>
      <c r="I8" s="2">
        <f t="shared" si="3"/>
        <v>0</v>
      </c>
      <c r="J8" s="2">
        <f t="shared" si="3"/>
        <v>44317</v>
      </c>
      <c r="K8" s="2">
        <f t="shared" si="3"/>
        <v>0</v>
      </c>
      <c r="L8" s="2">
        <f t="shared" si="3"/>
        <v>0</v>
      </c>
      <c r="M8" s="2">
        <f t="shared" si="3"/>
        <v>0</v>
      </c>
      <c r="N8" s="2">
        <f t="shared" si="3"/>
        <v>0</v>
      </c>
      <c r="O8" s="2">
        <f t="shared" si="3"/>
        <v>0</v>
      </c>
      <c r="P8" s="2">
        <f t="shared" si="3"/>
        <v>0</v>
      </c>
      <c r="Q8" s="2">
        <f t="shared" si="3"/>
        <v>0</v>
      </c>
      <c r="R8" s="3">
        <f t="shared" si="1"/>
      </c>
    </row>
    <row r="9" spans="2:18" ht="16.5">
      <c r="B9" s="12">
        <f t="shared" si="2"/>
        <v>3</v>
      </c>
      <c r="C9" s="4">
        <v>44349</v>
      </c>
      <c r="D9" s="5" t="s">
        <v>6</v>
      </c>
      <c r="F9" s="2">
        <f t="shared" si="3"/>
        <v>0</v>
      </c>
      <c r="G9" s="2">
        <f t="shared" si="3"/>
        <v>0</v>
      </c>
      <c r="H9" s="2">
        <f t="shared" si="3"/>
        <v>0</v>
      </c>
      <c r="I9" s="2">
        <f t="shared" si="3"/>
        <v>0</v>
      </c>
      <c r="J9" s="2">
        <f t="shared" si="3"/>
        <v>0</v>
      </c>
      <c r="K9" s="2">
        <f t="shared" si="3"/>
        <v>44349</v>
      </c>
      <c r="L9" s="2">
        <f t="shared" si="3"/>
        <v>0</v>
      </c>
      <c r="M9" s="2">
        <f t="shared" si="3"/>
        <v>0</v>
      </c>
      <c r="N9" s="2">
        <f t="shared" si="3"/>
        <v>0</v>
      </c>
      <c r="O9" s="2">
        <f t="shared" si="3"/>
        <v>0</v>
      </c>
      <c r="P9" s="2">
        <f t="shared" si="3"/>
        <v>0</v>
      </c>
      <c r="Q9" s="2">
        <f t="shared" si="3"/>
        <v>0</v>
      </c>
      <c r="R9" s="3">
        <f aca="true" t="shared" si="4" ref="R9:R14">IF(MONTH($C9)=R$2,$C9,"")</f>
      </c>
    </row>
    <row r="10" spans="2:18" ht="16.5">
      <c r="B10" s="12">
        <f t="shared" si="2"/>
        <v>7</v>
      </c>
      <c r="C10" s="4">
        <v>44423</v>
      </c>
      <c r="D10" s="5" t="s">
        <v>7</v>
      </c>
      <c r="F10" s="2">
        <f t="shared" si="3"/>
        <v>0</v>
      </c>
      <c r="G10" s="2">
        <f t="shared" si="3"/>
        <v>0</v>
      </c>
      <c r="H10" s="2">
        <f t="shared" si="3"/>
        <v>0</v>
      </c>
      <c r="I10" s="2">
        <f t="shared" si="3"/>
        <v>0</v>
      </c>
      <c r="J10" s="2">
        <f t="shared" si="3"/>
        <v>0</v>
      </c>
      <c r="K10" s="2">
        <f t="shared" si="3"/>
        <v>0</v>
      </c>
      <c r="L10" s="2">
        <f t="shared" si="3"/>
        <v>0</v>
      </c>
      <c r="M10" s="2">
        <f t="shared" si="3"/>
        <v>44423</v>
      </c>
      <c r="N10" s="2">
        <f t="shared" si="3"/>
        <v>0</v>
      </c>
      <c r="O10" s="2">
        <f t="shared" si="3"/>
        <v>0</v>
      </c>
      <c r="P10" s="2">
        <f t="shared" si="3"/>
        <v>0</v>
      </c>
      <c r="Q10" s="2">
        <f t="shared" si="3"/>
        <v>0</v>
      </c>
      <c r="R10" s="3">
        <f t="shared" si="4"/>
      </c>
    </row>
    <row r="11" spans="2:18" ht="16.5">
      <c r="B11" s="12">
        <f t="shared" si="2"/>
        <v>1</v>
      </c>
      <c r="C11" s="4">
        <v>44501</v>
      </c>
      <c r="D11" s="5" t="s">
        <v>8</v>
      </c>
      <c r="F11" s="2">
        <f t="shared" si="3"/>
        <v>0</v>
      </c>
      <c r="G11" s="2">
        <f t="shared" si="3"/>
        <v>0</v>
      </c>
      <c r="H11" s="2">
        <f t="shared" si="3"/>
        <v>0</v>
      </c>
      <c r="I11" s="2">
        <f t="shared" si="3"/>
        <v>0</v>
      </c>
      <c r="J11" s="2">
        <f t="shared" si="3"/>
        <v>0</v>
      </c>
      <c r="K11" s="2">
        <f t="shared" si="3"/>
        <v>0</v>
      </c>
      <c r="L11" s="2">
        <f t="shared" si="3"/>
        <v>0</v>
      </c>
      <c r="M11" s="2">
        <f t="shared" si="3"/>
        <v>0</v>
      </c>
      <c r="N11" s="2">
        <f t="shared" si="3"/>
        <v>0</v>
      </c>
      <c r="O11" s="2">
        <f t="shared" si="3"/>
        <v>0</v>
      </c>
      <c r="P11" s="2">
        <f t="shared" si="3"/>
        <v>44501</v>
      </c>
      <c r="Q11" s="2">
        <f t="shared" si="3"/>
        <v>0</v>
      </c>
      <c r="R11" s="3">
        <f t="shared" si="4"/>
      </c>
    </row>
    <row r="12" spans="2:18" ht="16.5">
      <c r="B12" s="12">
        <f t="shared" si="2"/>
        <v>3</v>
      </c>
      <c r="C12" s="4">
        <v>44538</v>
      </c>
      <c r="D12" s="5" t="s">
        <v>9</v>
      </c>
      <c r="F12" s="2">
        <f t="shared" si="3"/>
        <v>0</v>
      </c>
      <c r="G12" s="2">
        <f t="shared" si="3"/>
        <v>0</v>
      </c>
      <c r="H12" s="2">
        <f t="shared" si="3"/>
        <v>0</v>
      </c>
      <c r="I12" s="2">
        <f t="shared" si="3"/>
        <v>0</v>
      </c>
      <c r="J12" s="2">
        <f t="shared" si="3"/>
        <v>0</v>
      </c>
      <c r="K12" s="2">
        <f t="shared" si="3"/>
        <v>0</v>
      </c>
      <c r="L12" s="2">
        <f t="shared" si="3"/>
        <v>0</v>
      </c>
      <c r="M12" s="2">
        <f t="shared" si="3"/>
        <v>0</v>
      </c>
      <c r="N12" s="2">
        <f t="shared" si="3"/>
        <v>0</v>
      </c>
      <c r="O12" s="2">
        <f t="shared" si="3"/>
        <v>0</v>
      </c>
      <c r="P12" s="2">
        <f t="shared" si="3"/>
        <v>0</v>
      </c>
      <c r="Q12" s="2">
        <f t="shared" si="3"/>
        <v>44538</v>
      </c>
      <c r="R12" s="3">
        <f t="shared" si="4"/>
      </c>
    </row>
    <row r="13" spans="2:18" ht="16.5">
      <c r="B13" s="12">
        <f t="shared" si="2"/>
        <v>6</v>
      </c>
      <c r="C13" s="4">
        <v>44555</v>
      </c>
      <c r="D13" s="5" t="s">
        <v>10</v>
      </c>
      <c r="F13" s="2">
        <f t="shared" si="3"/>
        <v>0</v>
      </c>
      <c r="G13" s="2">
        <f t="shared" si="3"/>
        <v>0</v>
      </c>
      <c r="H13" s="2">
        <f t="shared" si="3"/>
        <v>0</v>
      </c>
      <c r="I13" s="2">
        <f t="shared" si="3"/>
        <v>0</v>
      </c>
      <c r="J13" s="2">
        <f t="shared" si="3"/>
        <v>0</v>
      </c>
      <c r="K13" s="2">
        <f t="shared" si="3"/>
        <v>0</v>
      </c>
      <c r="L13" s="2">
        <f t="shared" si="3"/>
        <v>0</v>
      </c>
      <c r="M13" s="2">
        <f t="shared" si="3"/>
        <v>0</v>
      </c>
      <c r="N13" s="2">
        <f t="shared" si="3"/>
        <v>0</v>
      </c>
      <c r="O13" s="2">
        <f t="shared" si="3"/>
        <v>0</v>
      </c>
      <c r="P13" s="2">
        <f t="shared" si="3"/>
        <v>0</v>
      </c>
      <c r="Q13" s="2">
        <f t="shared" si="3"/>
        <v>44555</v>
      </c>
      <c r="R13" s="3">
        <f t="shared" si="4"/>
      </c>
    </row>
    <row r="14" spans="2:18" ht="16.5">
      <c r="B14" s="12">
        <f t="shared" si="2"/>
        <v>7</v>
      </c>
      <c r="C14" s="4">
        <v>44556</v>
      </c>
      <c r="D14" s="5" t="s">
        <v>11</v>
      </c>
      <c r="F14" s="2">
        <f t="shared" si="3"/>
        <v>0</v>
      </c>
      <c r="G14" s="2">
        <f t="shared" si="3"/>
        <v>0</v>
      </c>
      <c r="H14" s="2">
        <f t="shared" si="3"/>
        <v>0</v>
      </c>
      <c r="I14" s="2">
        <f t="shared" si="3"/>
        <v>0</v>
      </c>
      <c r="J14" s="2">
        <f t="shared" si="3"/>
        <v>0</v>
      </c>
      <c r="K14" s="2">
        <f t="shared" si="3"/>
        <v>0</v>
      </c>
      <c r="L14" s="2">
        <f t="shared" si="3"/>
        <v>0</v>
      </c>
      <c r="M14" s="2">
        <f t="shared" si="3"/>
        <v>0</v>
      </c>
      <c r="N14" s="2">
        <f t="shared" si="3"/>
        <v>0</v>
      </c>
      <c r="O14" s="2">
        <f t="shared" si="3"/>
        <v>0</v>
      </c>
      <c r="P14" s="2">
        <f t="shared" si="3"/>
        <v>0</v>
      </c>
      <c r="Q14" s="2">
        <f t="shared" si="3"/>
        <v>44556</v>
      </c>
      <c r="R14" s="3">
        <f t="shared" si="4"/>
      </c>
    </row>
  </sheetData>
  <sheetProtection/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1:U57"/>
  <sheetViews>
    <sheetView tabSelected="1" zoomScalePageLayoutView="0" workbookViewId="0" topLeftCell="A16">
      <selection activeCell="D17" sqref="D17"/>
    </sheetView>
  </sheetViews>
  <sheetFormatPr defaultColWidth="8.8515625" defaultRowHeight="15"/>
  <cols>
    <col min="1" max="1" width="2.00390625" style="0" customWidth="1"/>
    <col min="2" max="2" width="4.140625" style="14" bestFit="1" customWidth="1"/>
    <col min="3" max="3" width="41.421875" style="15" bestFit="1" customWidth="1"/>
    <col min="4" max="4" width="32.421875" style="15" bestFit="1" customWidth="1"/>
    <col min="5" max="5" width="33.140625" style="14" customWidth="1"/>
    <col min="6" max="6" width="30.28125" style="14" customWidth="1"/>
    <col min="7" max="7" width="24.7109375" style="14" customWidth="1"/>
    <col min="8" max="8" width="22.00390625" style="14" customWidth="1"/>
    <col min="9" max="9" width="20.00390625" style="14" customWidth="1"/>
    <col min="10" max="12" width="20.28125" style="14" customWidth="1"/>
    <col min="13" max="13" width="64.421875" style="14" bestFit="1" customWidth="1"/>
    <col min="14" max="14" width="26.421875" style="14" bestFit="1" customWidth="1"/>
    <col min="15" max="15" width="28.00390625" style="48" bestFit="1" customWidth="1"/>
    <col min="16" max="17" width="25.8515625" style="49" customWidth="1"/>
    <col min="18" max="18" width="49.421875" style="6" customWidth="1"/>
    <col min="19" max="19" width="18.7109375" style="7" customWidth="1"/>
    <col min="20" max="20" width="1.8515625" style="16" customWidth="1"/>
    <col min="21" max="21" width="4.421875" style="13" customWidth="1"/>
    <col min="22" max="22" width="14.7109375" style="0" bestFit="1" customWidth="1"/>
    <col min="23" max="23" width="11.28125" style="0" bestFit="1" customWidth="1"/>
  </cols>
  <sheetData>
    <row r="1" spans="15:17" ht="18" customHeight="1">
      <c r="O1" s="14"/>
      <c r="P1" s="6"/>
      <c r="Q1" s="6"/>
    </row>
    <row r="2" spans="2:17" ht="18" customHeight="1">
      <c r="B2" s="50"/>
      <c r="C2" s="32" t="s">
        <v>56</v>
      </c>
      <c r="E2" s="50"/>
      <c r="F2" s="50"/>
      <c r="G2" s="50"/>
      <c r="H2" s="96" t="s">
        <v>81</v>
      </c>
      <c r="I2" s="96" t="s">
        <v>80</v>
      </c>
      <c r="J2" s="50"/>
      <c r="K2" s="50"/>
      <c r="L2" s="50"/>
      <c r="M2" s="50"/>
      <c r="N2" s="50"/>
      <c r="O2" s="50"/>
      <c r="P2" s="6"/>
      <c r="Q2" s="6"/>
    </row>
    <row r="3" spans="2:17" ht="18" customHeight="1">
      <c r="B3" s="50"/>
      <c r="C3" s="64" t="s">
        <v>55</v>
      </c>
      <c r="D3" s="64" t="s">
        <v>57</v>
      </c>
      <c r="E3" s="64" t="s">
        <v>59</v>
      </c>
      <c r="F3" s="64" t="s">
        <v>58</v>
      </c>
      <c r="H3" s="28">
        <v>2500000</v>
      </c>
      <c r="I3" s="27" t="s">
        <v>72</v>
      </c>
      <c r="J3" s="63">
        <v>0.4</v>
      </c>
      <c r="K3" s="50"/>
      <c r="L3" s="50"/>
      <c r="M3" s="50"/>
      <c r="N3" s="50"/>
      <c r="O3" s="50"/>
      <c r="P3" s="6"/>
      <c r="Q3" s="6"/>
    </row>
    <row r="4" spans="2:17" ht="18" customHeight="1">
      <c r="B4" s="50"/>
      <c r="C4" s="62" t="s">
        <v>60</v>
      </c>
      <c r="D4" s="63">
        <v>0.06</v>
      </c>
      <c r="E4" s="63">
        <v>0.1</v>
      </c>
      <c r="F4" s="63">
        <v>0.06</v>
      </c>
      <c r="H4" s="28">
        <f>F11-H3</f>
        <v>2150000</v>
      </c>
      <c r="I4" s="27" t="s">
        <v>73</v>
      </c>
      <c r="J4" s="106">
        <v>0.2</v>
      </c>
      <c r="K4" s="50"/>
      <c r="L4" s="50"/>
      <c r="M4" s="50"/>
      <c r="N4" s="50"/>
      <c r="O4" s="50"/>
      <c r="P4" s="6"/>
      <c r="Q4" s="6"/>
    </row>
    <row r="5" spans="2:17" ht="18" customHeight="1">
      <c r="B5" s="50"/>
      <c r="C5" s="62" t="s">
        <v>61</v>
      </c>
      <c r="D5" s="63">
        <v>0.06</v>
      </c>
      <c r="E5" s="63">
        <v>0.1</v>
      </c>
      <c r="F5" s="63">
        <v>0.06</v>
      </c>
      <c r="H5" s="28">
        <f>10000000-H3-H4</f>
        <v>5350000</v>
      </c>
      <c r="I5" s="27" t="s">
        <v>73</v>
      </c>
      <c r="J5" s="107"/>
      <c r="K5" s="50"/>
      <c r="L5" s="50"/>
      <c r="M5" s="50"/>
      <c r="N5" s="50"/>
      <c r="O5" s="50"/>
      <c r="P5" s="6"/>
      <c r="Q5" s="6"/>
    </row>
    <row r="6" spans="2:17" ht="18" customHeight="1">
      <c r="B6" s="50"/>
      <c r="C6" s="62" t="s">
        <v>62</v>
      </c>
      <c r="D6" s="27" t="s">
        <v>66</v>
      </c>
      <c r="E6" s="63" t="s">
        <v>64</v>
      </c>
      <c r="F6" s="27" t="s">
        <v>65</v>
      </c>
      <c r="H6" s="96" t="s">
        <v>81</v>
      </c>
      <c r="I6" s="96" t="s">
        <v>80</v>
      </c>
      <c r="J6" s="50"/>
      <c r="K6" s="50"/>
      <c r="L6" s="50"/>
      <c r="M6" s="50"/>
      <c r="N6" s="50"/>
      <c r="O6" s="50"/>
      <c r="P6" s="6"/>
      <c r="Q6" s="6"/>
    </row>
    <row r="7" spans="2:17" ht="18" customHeight="1">
      <c r="B7" s="50"/>
      <c r="C7" s="62" t="s">
        <v>63</v>
      </c>
      <c r="D7" s="63">
        <v>0.15</v>
      </c>
      <c r="E7" s="63">
        <v>0.2</v>
      </c>
      <c r="F7" s="63">
        <v>0.2</v>
      </c>
      <c r="H7" s="28">
        <f>F16+F17</f>
        <v>145620</v>
      </c>
      <c r="I7" s="45">
        <v>700000</v>
      </c>
      <c r="J7" s="63">
        <v>0.15</v>
      </c>
      <c r="K7" s="50"/>
      <c r="L7" s="50"/>
      <c r="M7" s="50"/>
      <c r="N7" s="50"/>
      <c r="O7" s="50"/>
      <c r="P7" s="6"/>
      <c r="Q7" s="6"/>
    </row>
    <row r="8" spans="2:17" ht="18" customHeight="1">
      <c r="B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6"/>
      <c r="Q8" s="6"/>
    </row>
    <row r="9" spans="2:19" ht="18" customHeight="1">
      <c r="B9" s="99" t="s">
        <v>68</v>
      </c>
      <c r="C9" s="55"/>
      <c r="D9" s="55"/>
      <c r="E9" s="56"/>
      <c r="F9" s="56"/>
      <c r="G9" s="56"/>
      <c r="H9" s="56"/>
      <c r="I9" s="50"/>
      <c r="J9" s="50"/>
      <c r="K9" s="50"/>
      <c r="M9" s="17"/>
      <c r="N9" s="18"/>
      <c r="O9" s="14"/>
      <c r="P9" s="6"/>
      <c r="Q9" s="6"/>
      <c r="S9" s="19"/>
    </row>
    <row r="10" spans="2:21" ht="30">
      <c r="B10" s="100" t="s">
        <v>15</v>
      </c>
      <c r="C10" s="100" t="s">
        <v>16</v>
      </c>
      <c r="D10" s="100" t="s">
        <v>17</v>
      </c>
      <c r="E10" s="100" t="s">
        <v>67</v>
      </c>
      <c r="F10" s="101" t="s">
        <v>19</v>
      </c>
      <c r="G10" s="102" t="s">
        <v>21</v>
      </c>
      <c r="H10" s="102" t="s">
        <v>22</v>
      </c>
      <c r="I10" s="50"/>
      <c r="J10" s="50"/>
      <c r="K10" s="23"/>
      <c r="O10" s="14"/>
      <c r="P10" s="6"/>
      <c r="Q10" s="6"/>
      <c r="U10" s="16"/>
    </row>
    <row r="11" spans="2:21" ht="15">
      <c r="B11" s="27" t="s">
        <v>43</v>
      </c>
      <c r="C11" s="51" t="s">
        <v>24</v>
      </c>
      <c r="D11" s="53" t="s">
        <v>101</v>
      </c>
      <c r="E11" s="51" t="s">
        <v>57</v>
      </c>
      <c r="F11" s="24">
        <v>4650000</v>
      </c>
      <c r="G11" s="25">
        <f>(H3*0.4)+(0.2*H4)</f>
        <v>1430000</v>
      </c>
      <c r="H11" s="57">
        <v>0.06</v>
      </c>
      <c r="I11" s="50"/>
      <c r="K11" s="26"/>
      <c r="M11" s="50"/>
      <c r="O11" s="14"/>
      <c r="P11" s="6"/>
      <c r="Q11" s="6"/>
      <c r="U11" s="16"/>
    </row>
    <row r="12" spans="2:21" ht="15">
      <c r="B12" s="27" t="s">
        <v>45</v>
      </c>
      <c r="C12" s="51" t="s">
        <v>23</v>
      </c>
      <c r="D12" s="53" t="s">
        <v>102</v>
      </c>
      <c r="E12" s="51" t="s">
        <v>57</v>
      </c>
      <c r="F12" s="24">
        <v>619126</v>
      </c>
      <c r="G12" s="25">
        <f>F12*0.2</f>
        <v>123825.20000000001</v>
      </c>
      <c r="H12" s="57">
        <v>0.06</v>
      </c>
      <c r="I12" s="50"/>
      <c r="K12" s="26"/>
      <c r="M12" s="50"/>
      <c r="O12" s="14"/>
      <c r="P12" s="6"/>
      <c r="Q12" s="6"/>
      <c r="U12" s="16"/>
    </row>
    <row r="13" spans="2:21" ht="15">
      <c r="B13" s="27" t="s">
        <v>47</v>
      </c>
      <c r="C13" s="51" t="s">
        <v>23</v>
      </c>
      <c r="D13" s="53" t="s">
        <v>103</v>
      </c>
      <c r="E13" s="51" t="s">
        <v>57</v>
      </c>
      <c r="F13" s="24">
        <v>285000</v>
      </c>
      <c r="G13" s="25">
        <f>F13*0.2</f>
        <v>57000</v>
      </c>
      <c r="H13" s="57">
        <v>0.06</v>
      </c>
      <c r="I13" s="50"/>
      <c r="K13" s="26"/>
      <c r="M13" s="50"/>
      <c r="O13" s="14"/>
      <c r="P13" s="6"/>
      <c r="Q13" s="6"/>
      <c r="U13" s="16"/>
    </row>
    <row r="14" spans="2:21" ht="15">
      <c r="B14" s="27" t="s">
        <v>49</v>
      </c>
      <c r="C14" s="51" t="s">
        <v>23</v>
      </c>
      <c r="D14" s="53" t="s">
        <v>104</v>
      </c>
      <c r="E14" s="51" t="s">
        <v>57</v>
      </c>
      <c r="F14" s="24">
        <v>510000</v>
      </c>
      <c r="G14" s="25">
        <f>F14*0.2</f>
        <v>102000</v>
      </c>
      <c r="H14" s="57">
        <v>0.06</v>
      </c>
      <c r="I14" s="50"/>
      <c r="K14" s="26"/>
      <c r="M14" s="50"/>
      <c r="O14" s="14"/>
      <c r="P14" s="6"/>
      <c r="Q14" s="6"/>
      <c r="U14" s="16"/>
    </row>
    <row r="15" spans="2:21" ht="15">
      <c r="B15" s="27">
        <v>9</v>
      </c>
      <c r="C15" s="51" t="s">
        <v>71</v>
      </c>
      <c r="D15" s="53" t="s">
        <v>105</v>
      </c>
      <c r="E15" s="51" t="s">
        <v>57</v>
      </c>
      <c r="F15" s="24">
        <v>7085245</v>
      </c>
      <c r="G15" s="25">
        <f>H5*0.2</f>
        <v>1070000</v>
      </c>
      <c r="H15" s="57">
        <v>0.06</v>
      </c>
      <c r="I15" s="50"/>
      <c r="J15" s="50"/>
      <c r="K15" s="26"/>
      <c r="L15" s="50"/>
      <c r="M15" s="50"/>
      <c r="N15" s="50"/>
      <c r="O15" s="50"/>
      <c r="P15" s="6"/>
      <c r="Q15" s="6"/>
      <c r="U15" s="16"/>
    </row>
    <row r="16" spans="2:17" ht="14.25" customHeight="1">
      <c r="B16" s="27">
        <v>36</v>
      </c>
      <c r="C16" s="52" t="s">
        <v>29</v>
      </c>
      <c r="D16" s="54" t="s">
        <v>107</v>
      </c>
      <c r="E16" s="51" t="s">
        <v>57</v>
      </c>
      <c r="F16" s="30">
        <v>65620</v>
      </c>
      <c r="G16" s="25">
        <f>D7*F16</f>
        <v>9843</v>
      </c>
      <c r="H16" s="57">
        <v>0.3333</v>
      </c>
      <c r="I16" s="50"/>
      <c r="K16" s="26"/>
      <c r="M16" s="50"/>
      <c r="O16" s="14"/>
      <c r="P16" s="6"/>
      <c r="Q16" s="6"/>
    </row>
    <row r="17" spans="2:17" ht="14.25" customHeight="1">
      <c r="B17" s="27">
        <v>35</v>
      </c>
      <c r="C17" s="52" t="s">
        <v>54</v>
      </c>
      <c r="D17" s="54" t="s">
        <v>14</v>
      </c>
      <c r="E17" s="51" t="s">
        <v>57</v>
      </c>
      <c r="F17" s="30">
        <v>80000</v>
      </c>
      <c r="G17" s="25">
        <f>D7*F17</f>
        <v>12000</v>
      </c>
      <c r="H17" s="57">
        <v>0.33</v>
      </c>
      <c r="I17" s="50"/>
      <c r="K17" s="26"/>
      <c r="M17" s="50"/>
      <c r="O17" s="14"/>
      <c r="P17" s="6"/>
      <c r="Q17" s="6"/>
    </row>
    <row r="18" spans="2:17" ht="20.25">
      <c r="B18" s="84"/>
      <c r="C18" s="85"/>
      <c r="D18" s="85"/>
      <c r="E18" s="84"/>
      <c r="F18" s="86">
        <f>SUM(F11:F17)</f>
        <v>13294991</v>
      </c>
      <c r="G18" s="86">
        <f>SUM(G11:G17)</f>
        <v>2804668.2</v>
      </c>
      <c r="H18" s="86"/>
      <c r="I18" s="50"/>
      <c r="K18" s="26"/>
      <c r="M18" s="31"/>
      <c r="O18" s="14"/>
      <c r="P18" s="6"/>
      <c r="Q18" s="6"/>
    </row>
    <row r="19" spans="15:17" ht="15">
      <c r="O19" s="14"/>
      <c r="P19" s="6"/>
      <c r="Q19" s="6"/>
    </row>
    <row r="20" spans="3:17" ht="15">
      <c r="C20" s="32" t="s">
        <v>30</v>
      </c>
      <c r="D20" s="33">
        <f>G18</f>
        <v>2804668.2</v>
      </c>
      <c r="E20" s="109">
        <f>+G14+G12+G13+G11+G15</f>
        <v>2782825.2</v>
      </c>
      <c r="F20" s="110"/>
      <c r="G20" s="111">
        <f>G16+G17</f>
        <v>21843</v>
      </c>
      <c r="H20" s="111"/>
      <c r="I20" s="34"/>
      <c r="J20" s="34"/>
      <c r="K20" s="34"/>
      <c r="L20" s="34"/>
      <c r="O20" s="14"/>
      <c r="P20" s="35"/>
      <c r="Q20" s="6"/>
    </row>
    <row r="21" spans="3:17" ht="15">
      <c r="C21" s="32"/>
      <c r="D21" s="98" t="s">
        <v>84</v>
      </c>
      <c r="E21" s="108" t="s">
        <v>82</v>
      </c>
      <c r="F21" s="108"/>
      <c r="G21" s="108" t="s">
        <v>83</v>
      </c>
      <c r="H21" s="108"/>
      <c r="I21" s="37"/>
      <c r="O21" s="14"/>
      <c r="P21" s="6"/>
      <c r="Q21" s="6"/>
    </row>
    <row r="22" spans="3:19" ht="60">
      <c r="C22" s="38" t="s">
        <v>31</v>
      </c>
      <c r="D22" s="39" t="s">
        <v>86</v>
      </c>
      <c r="E22" s="39" t="s">
        <v>33</v>
      </c>
      <c r="F22" s="39" t="s">
        <v>34</v>
      </c>
      <c r="G22" s="39" t="s">
        <v>33</v>
      </c>
      <c r="H22" s="39" t="s">
        <v>85</v>
      </c>
      <c r="I22" s="39" t="s">
        <v>35</v>
      </c>
      <c r="J22" s="39" t="s">
        <v>36</v>
      </c>
      <c r="K22" s="39" t="s">
        <v>87</v>
      </c>
      <c r="P22" s="6"/>
      <c r="Q22" s="6"/>
      <c r="S22" s="40" t="e">
        <f>2500000-'Cred.Imp_4.0 2021'!F16-'Cred.Imp_4.0 2021'!F17-#REF!</f>
        <v>#REF!</v>
      </c>
    </row>
    <row r="23" spans="2:19" ht="15">
      <c r="B23" s="14">
        <v>1</v>
      </c>
      <c r="C23" s="41">
        <v>2021</v>
      </c>
      <c r="D23" s="61">
        <f>$D$20-E23-G23</f>
        <v>2761123.7745000003</v>
      </c>
      <c r="E23" s="43">
        <f>SUM(G11:G15)*(H11/2)/12*6</f>
        <v>41742.378000000004</v>
      </c>
      <c r="F23" s="43">
        <f>(($H$11/2)*SUM($F$11:$F$15))/2</f>
        <v>197240.565</v>
      </c>
      <c r="G23" s="43">
        <f>(($G$17+$G$16)*$H$17/2)/12*6</f>
        <v>1802.0475000000001</v>
      </c>
      <c r="H23" s="44">
        <v>12135</v>
      </c>
      <c r="I23" s="43">
        <v>0</v>
      </c>
      <c r="J23" s="43">
        <f aca="true" t="shared" si="0" ref="J23:J40">D23-I23</f>
        <v>2761123.7745000003</v>
      </c>
      <c r="K23" s="43">
        <v>0</v>
      </c>
      <c r="P23" s="6"/>
      <c r="Q23" s="6"/>
      <c r="S23" s="40"/>
    </row>
    <row r="24" spans="2:19" ht="15">
      <c r="B24" s="14">
        <f>B23+1</f>
        <v>2</v>
      </c>
      <c r="C24" s="41">
        <v>2022</v>
      </c>
      <c r="D24" s="61">
        <f>D23-E24-G24</f>
        <v>2586946.0725000002</v>
      </c>
      <c r="E24" s="43">
        <f>SUM(G11:G15)*H12</f>
        <v>166969.51200000002</v>
      </c>
      <c r="F24" s="43">
        <f>($H$11)*SUM($F$11:$F$15)</f>
        <v>788962.26</v>
      </c>
      <c r="G24" s="43">
        <f>(($G$17+$G$16)*$H$17)</f>
        <v>7208.1900000000005</v>
      </c>
      <c r="H24" s="44">
        <f>(F17+F16)*(H17)</f>
        <v>48054.600000000006</v>
      </c>
      <c r="I24" s="43">
        <v>0</v>
      </c>
      <c r="J24" s="43">
        <f t="shared" si="0"/>
        <v>2586946.0725000002</v>
      </c>
      <c r="K24" s="42">
        <f>SUM(G11:G15)/5+(G16+G17)/3</f>
        <v>563846.04</v>
      </c>
      <c r="P24" s="6"/>
      <c r="Q24" s="6"/>
      <c r="S24" s="40" t="e">
        <f>'Cred.Imp_4.0 2021'!F16+'Cred.Imp_4.0 2021'!F17+#REF!</f>
        <v>#REF!</v>
      </c>
    </row>
    <row r="25" spans="2:17" ht="15">
      <c r="B25" s="14">
        <f aca="true" t="shared" si="1" ref="B25:C40">B24+1</f>
        <v>3</v>
      </c>
      <c r="C25" s="41">
        <f>C24+1</f>
        <v>2023</v>
      </c>
      <c r="D25" s="61">
        <f>D24-E25-G25</f>
        <v>2412768.3705</v>
      </c>
      <c r="E25" s="43">
        <f>SUM(G11:G15)*H13</f>
        <v>166969.51200000002</v>
      </c>
      <c r="F25" s="43">
        <f aca="true" t="shared" si="2" ref="F25:F39">($H$11)*SUM($F$11:$F$15)</f>
        <v>788962.26</v>
      </c>
      <c r="G25" s="43">
        <f>(($G$17+$G$16)*$H$17)</f>
        <v>7208.1900000000005</v>
      </c>
      <c r="H25" s="44">
        <f>H24</f>
        <v>48054.600000000006</v>
      </c>
      <c r="I25" s="43">
        <v>0</v>
      </c>
      <c r="J25" s="43">
        <f t="shared" si="0"/>
        <v>2412768.3705</v>
      </c>
      <c r="K25" s="42">
        <f>SUM(G11:G15)/5+(G16+G17)/3</f>
        <v>563846.04</v>
      </c>
      <c r="P25" s="6"/>
      <c r="Q25" s="6"/>
    </row>
    <row r="26" spans="2:19" ht="15">
      <c r="B26" s="14">
        <f t="shared" si="1"/>
        <v>4</v>
      </c>
      <c r="C26" s="41">
        <f t="shared" si="1"/>
        <v>2024</v>
      </c>
      <c r="D26" s="61">
        <f>D25-E26-G26</f>
        <v>2240174.2860000003</v>
      </c>
      <c r="E26" s="43">
        <f>E25</f>
        <v>166969.51200000002</v>
      </c>
      <c r="F26" s="43">
        <f t="shared" si="2"/>
        <v>788962.26</v>
      </c>
      <c r="G26" s="43">
        <f>G16+G17-G23-G24-G25</f>
        <v>5624.572499999998</v>
      </c>
      <c r="H26" s="44">
        <f>F16+F17-H23-H24-H25</f>
        <v>37375.79999999999</v>
      </c>
      <c r="I26" s="43">
        <v>0</v>
      </c>
      <c r="J26" s="43">
        <f t="shared" si="0"/>
        <v>2240174.2860000003</v>
      </c>
      <c r="K26" s="42">
        <f>SUM(G11:G15)/5+(G16+G17)/3</f>
        <v>563846.04</v>
      </c>
      <c r="P26" s="6"/>
      <c r="Q26" s="6"/>
      <c r="S26" s="8"/>
    </row>
    <row r="27" spans="2:17" ht="15">
      <c r="B27" s="14">
        <f t="shared" si="1"/>
        <v>5</v>
      </c>
      <c r="C27" s="41">
        <f t="shared" si="1"/>
        <v>2025</v>
      </c>
      <c r="D27" s="61">
        <f>D26-E27-G27</f>
        <v>2073204.7740000002</v>
      </c>
      <c r="E27" s="43">
        <f aca="true" t="shared" si="3" ref="E27:E39">E26</f>
        <v>166969.51200000002</v>
      </c>
      <c r="F27" s="43">
        <f t="shared" si="2"/>
        <v>788962.26</v>
      </c>
      <c r="G27" s="43">
        <v>0</v>
      </c>
      <c r="H27" s="43">
        <v>0</v>
      </c>
      <c r="I27" s="43">
        <v>0</v>
      </c>
      <c r="J27" s="43">
        <f t="shared" si="0"/>
        <v>2073204.7740000002</v>
      </c>
      <c r="K27" s="42">
        <f>SUM(G11:G15)/5</f>
        <v>556565.04</v>
      </c>
      <c r="P27" s="6"/>
      <c r="Q27" s="6"/>
    </row>
    <row r="28" spans="2:17" ht="15">
      <c r="B28" s="14">
        <f t="shared" si="1"/>
        <v>6</v>
      </c>
      <c r="C28" s="41">
        <f t="shared" si="1"/>
        <v>2026</v>
      </c>
      <c r="D28" s="61">
        <f aca="true" t="shared" si="4" ref="D28:D39">D27-E28-G28</f>
        <v>1906235.262</v>
      </c>
      <c r="E28" s="43">
        <f t="shared" si="3"/>
        <v>166969.51200000002</v>
      </c>
      <c r="F28" s="43">
        <f t="shared" si="2"/>
        <v>788962.26</v>
      </c>
      <c r="G28" s="43">
        <v>0</v>
      </c>
      <c r="H28" s="43">
        <v>0</v>
      </c>
      <c r="I28" s="43">
        <v>0</v>
      </c>
      <c r="J28" s="43">
        <f t="shared" si="0"/>
        <v>1906235.262</v>
      </c>
      <c r="K28" s="42">
        <f>SUM(G11:G15)/5</f>
        <v>556565.04</v>
      </c>
      <c r="P28" s="6"/>
      <c r="Q28" s="6"/>
    </row>
    <row r="29" spans="2:17" ht="15">
      <c r="B29" s="14">
        <f t="shared" si="1"/>
        <v>7</v>
      </c>
      <c r="C29" s="41">
        <f t="shared" si="1"/>
        <v>2027</v>
      </c>
      <c r="D29" s="61">
        <f t="shared" si="4"/>
        <v>1739265.75</v>
      </c>
      <c r="E29" s="43">
        <f t="shared" si="3"/>
        <v>166969.51200000002</v>
      </c>
      <c r="F29" s="43">
        <f t="shared" si="2"/>
        <v>788962.26</v>
      </c>
      <c r="G29" s="43">
        <v>0</v>
      </c>
      <c r="H29" s="43">
        <v>0</v>
      </c>
      <c r="I29" s="43">
        <v>0</v>
      </c>
      <c r="J29" s="43">
        <f t="shared" si="0"/>
        <v>1739265.75</v>
      </c>
      <c r="K29" s="27"/>
      <c r="P29" s="6"/>
      <c r="Q29" s="6"/>
    </row>
    <row r="30" spans="2:17" ht="15">
      <c r="B30" s="14">
        <f t="shared" si="1"/>
        <v>8</v>
      </c>
      <c r="C30" s="41">
        <f t="shared" si="1"/>
        <v>2028</v>
      </c>
      <c r="D30" s="61">
        <f t="shared" si="4"/>
        <v>1572296.238</v>
      </c>
      <c r="E30" s="43">
        <f t="shared" si="3"/>
        <v>166969.51200000002</v>
      </c>
      <c r="F30" s="43">
        <f t="shared" si="2"/>
        <v>788962.26</v>
      </c>
      <c r="G30" s="43">
        <v>0</v>
      </c>
      <c r="H30" s="43">
        <v>0</v>
      </c>
      <c r="I30" s="43">
        <v>0</v>
      </c>
      <c r="J30" s="43">
        <f t="shared" si="0"/>
        <v>1572296.238</v>
      </c>
      <c r="K30" s="27"/>
      <c r="P30" s="6"/>
      <c r="Q30" s="6"/>
    </row>
    <row r="31" spans="2:17" ht="15">
      <c r="B31" s="14">
        <f t="shared" si="1"/>
        <v>9</v>
      </c>
      <c r="C31" s="41">
        <f t="shared" si="1"/>
        <v>2029</v>
      </c>
      <c r="D31" s="61">
        <f t="shared" si="4"/>
        <v>1405326.7259999998</v>
      </c>
      <c r="E31" s="43">
        <f t="shared" si="3"/>
        <v>166969.51200000002</v>
      </c>
      <c r="F31" s="43">
        <f t="shared" si="2"/>
        <v>788962.26</v>
      </c>
      <c r="G31" s="43">
        <v>0</v>
      </c>
      <c r="H31" s="43">
        <v>0</v>
      </c>
      <c r="I31" s="43">
        <v>0</v>
      </c>
      <c r="J31" s="43">
        <f t="shared" si="0"/>
        <v>1405326.7259999998</v>
      </c>
      <c r="K31" s="27"/>
      <c r="P31" s="6"/>
      <c r="Q31" s="6"/>
    </row>
    <row r="32" spans="2:17" ht="15">
      <c r="B32" s="14">
        <f t="shared" si="1"/>
        <v>10</v>
      </c>
      <c r="C32" s="41">
        <f t="shared" si="1"/>
        <v>2030</v>
      </c>
      <c r="D32" s="61">
        <f t="shared" si="4"/>
        <v>1238357.2139999997</v>
      </c>
      <c r="E32" s="43">
        <f t="shared" si="3"/>
        <v>166969.51200000002</v>
      </c>
      <c r="F32" s="43">
        <f t="shared" si="2"/>
        <v>788962.26</v>
      </c>
      <c r="G32" s="43">
        <v>0</v>
      </c>
      <c r="H32" s="43">
        <v>0</v>
      </c>
      <c r="I32" s="43">
        <v>0</v>
      </c>
      <c r="J32" s="43">
        <f t="shared" si="0"/>
        <v>1238357.2139999997</v>
      </c>
      <c r="K32" s="27"/>
      <c r="P32" s="6"/>
      <c r="Q32" s="6"/>
    </row>
    <row r="33" spans="2:17" ht="15">
      <c r="B33" s="14">
        <f t="shared" si="1"/>
        <v>11</v>
      </c>
      <c r="C33" s="41">
        <f t="shared" si="1"/>
        <v>2031</v>
      </c>
      <c r="D33" s="61">
        <f t="shared" si="4"/>
        <v>1071387.7019999996</v>
      </c>
      <c r="E33" s="43">
        <f t="shared" si="3"/>
        <v>166969.51200000002</v>
      </c>
      <c r="F33" s="43">
        <f t="shared" si="2"/>
        <v>788962.26</v>
      </c>
      <c r="G33" s="43">
        <v>0</v>
      </c>
      <c r="H33" s="43">
        <v>0</v>
      </c>
      <c r="I33" s="43">
        <v>0</v>
      </c>
      <c r="J33" s="43">
        <f t="shared" si="0"/>
        <v>1071387.7019999996</v>
      </c>
      <c r="K33" s="27"/>
      <c r="P33" s="6"/>
      <c r="Q33" s="6"/>
    </row>
    <row r="34" spans="2:17" ht="15">
      <c r="B34" s="14">
        <f t="shared" si="1"/>
        <v>12</v>
      </c>
      <c r="C34" s="41">
        <f t="shared" si="1"/>
        <v>2032</v>
      </c>
      <c r="D34" s="61">
        <f t="shared" si="4"/>
        <v>904418.1899999996</v>
      </c>
      <c r="E34" s="43">
        <f t="shared" si="3"/>
        <v>166969.51200000002</v>
      </c>
      <c r="F34" s="43">
        <f t="shared" si="2"/>
        <v>788962.26</v>
      </c>
      <c r="G34" s="43">
        <v>0</v>
      </c>
      <c r="H34" s="43">
        <v>0</v>
      </c>
      <c r="I34" s="43">
        <v>0</v>
      </c>
      <c r="J34" s="43">
        <f t="shared" si="0"/>
        <v>904418.1899999996</v>
      </c>
      <c r="K34" s="27"/>
      <c r="P34" s="6"/>
      <c r="Q34" s="6"/>
    </row>
    <row r="35" spans="2:17" ht="15">
      <c r="B35" s="14">
        <f t="shared" si="1"/>
        <v>13</v>
      </c>
      <c r="C35" s="41">
        <f t="shared" si="1"/>
        <v>2033</v>
      </c>
      <c r="D35" s="61">
        <f t="shared" si="4"/>
        <v>737448.6779999996</v>
      </c>
      <c r="E35" s="43">
        <f t="shared" si="3"/>
        <v>166969.51200000002</v>
      </c>
      <c r="F35" s="43">
        <f t="shared" si="2"/>
        <v>788962.26</v>
      </c>
      <c r="G35" s="43">
        <v>0</v>
      </c>
      <c r="H35" s="43">
        <v>0</v>
      </c>
      <c r="I35" s="43">
        <v>0</v>
      </c>
      <c r="J35" s="43">
        <f t="shared" si="0"/>
        <v>737448.6779999996</v>
      </c>
      <c r="K35" s="27"/>
      <c r="P35" s="6"/>
      <c r="Q35" s="6"/>
    </row>
    <row r="36" spans="2:17" ht="15">
      <c r="B36" s="14">
        <f t="shared" si="1"/>
        <v>14</v>
      </c>
      <c r="C36" s="41">
        <f t="shared" si="1"/>
        <v>2034</v>
      </c>
      <c r="D36" s="61">
        <f t="shared" si="4"/>
        <v>570479.1659999996</v>
      </c>
      <c r="E36" s="43">
        <f t="shared" si="3"/>
        <v>166969.51200000002</v>
      </c>
      <c r="F36" s="43">
        <f t="shared" si="2"/>
        <v>788962.26</v>
      </c>
      <c r="G36" s="43">
        <v>0</v>
      </c>
      <c r="H36" s="43">
        <v>0</v>
      </c>
      <c r="I36" s="43">
        <v>0</v>
      </c>
      <c r="J36" s="43">
        <f t="shared" si="0"/>
        <v>570479.1659999996</v>
      </c>
      <c r="K36" s="27"/>
      <c r="P36" s="6"/>
      <c r="Q36" s="6"/>
    </row>
    <row r="37" spans="2:17" ht="15">
      <c r="B37" s="14">
        <f t="shared" si="1"/>
        <v>15</v>
      </c>
      <c r="C37" s="41">
        <f t="shared" si="1"/>
        <v>2035</v>
      </c>
      <c r="D37" s="61">
        <f t="shared" si="4"/>
        <v>403509.65399999963</v>
      </c>
      <c r="E37" s="43">
        <f t="shared" si="3"/>
        <v>166969.51200000002</v>
      </c>
      <c r="F37" s="43">
        <f t="shared" si="2"/>
        <v>788962.26</v>
      </c>
      <c r="G37" s="43">
        <v>0</v>
      </c>
      <c r="H37" s="43">
        <v>0</v>
      </c>
      <c r="I37" s="43">
        <v>0</v>
      </c>
      <c r="J37" s="43">
        <f t="shared" si="0"/>
        <v>403509.65399999963</v>
      </c>
      <c r="K37" s="27"/>
      <c r="P37" s="6"/>
      <c r="Q37" s="6"/>
    </row>
    <row r="38" spans="2:17" ht="15">
      <c r="B38" s="14">
        <f t="shared" si="1"/>
        <v>16</v>
      </c>
      <c r="C38" s="41">
        <f t="shared" si="1"/>
        <v>2036</v>
      </c>
      <c r="D38" s="61">
        <f t="shared" si="4"/>
        <v>236540.1419999996</v>
      </c>
      <c r="E38" s="43">
        <f t="shared" si="3"/>
        <v>166969.51200000002</v>
      </c>
      <c r="F38" s="43">
        <f t="shared" si="2"/>
        <v>788962.26</v>
      </c>
      <c r="G38" s="43">
        <v>0</v>
      </c>
      <c r="H38" s="43">
        <v>0</v>
      </c>
      <c r="I38" s="43">
        <v>0</v>
      </c>
      <c r="J38" s="43">
        <f t="shared" si="0"/>
        <v>236540.1419999996</v>
      </c>
      <c r="K38" s="27"/>
      <c r="P38" s="6"/>
      <c r="Q38" s="6"/>
    </row>
    <row r="39" spans="2:17" ht="15">
      <c r="B39" s="14">
        <f t="shared" si="1"/>
        <v>17</v>
      </c>
      <c r="C39" s="41">
        <f t="shared" si="1"/>
        <v>2037</v>
      </c>
      <c r="D39" s="61">
        <f t="shared" si="4"/>
        <v>69570.6299999996</v>
      </c>
      <c r="E39" s="43">
        <f t="shared" si="3"/>
        <v>166969.51200000002</v>
      </c>
      <c r="F39" s="43">
        <f t="shared" si="2"/>
        <v>788962.26</v>
      </c>
      <c r="G39" s="43">
        <v>0</v>
      </c>
      <c r="H39" s="43">
        <v>0</v>
      </c>
      <c r="I39" s="43">
        <v>0</v>
      </c>
      <c r="J39" s="43">
        <f t="shared" si="0"/>
        <v>69570.6299999996</v>
      </c>
      <c r="K39" s="27"/>
      <c r="P39" s="6"/>
      <c r="Q39" s="6"/>
    </row>
    <row r="40" spans="2:17" ht="15">
      <c r="B40" s="14">
        <f t="shared" si="1"/>
        <v>18</v>
      </c>
      <c r="C40" s="41">
        <f t="shared" si="1"/>
        <v>2038</v>
      </c>
      <c r="D40" s="61">
        <f>D39-E40</f>
        <v>1.7462298274040222E-10</v>
      </c>
      <c r="E40" s="43">
        <f>G18-G17-G16-SUM(E23:E39)</f>
        <v>69570.62999999942</v>
      </c>
      <c r="F40" s="43">
        <f>F18-SUM(F23:F39)</f>
        <v>474354.27500000224</v>
      </c>
      <c r="G40" s="43">
        <v>0</v>
      </c>
      <c r="H40" s="43">
        <v>0</v>
      </c>
      <c r="I40" s="43">
        <v>0</v>
      </c>
      <c r="J40" s="43">
        <f t="shared" si="0"/>
        <v>1.7462298274040222E-10</v>
      </c>
      <c r="K40" s="27"/>
      <c r="P40" s="6"/>
      <c r="Q40" s="6"/>
    </row>
    <row r="41" spans="5:17" ht="15">
      <c r="E41" s="15"/>
      <c r="P41" s="46"/>
      <c r="Q41" s="46"/>
    </row>
    <row r="42" spans="7:17" ht="15.75" thickBot="1">
      <c r="G42" s="47"/>
      <c r="H42" s="47"/>
      <c r="I42" s="47"/>
      <c r="J42" s="47"/>
      <c r="K42" s="47"/>
      <c r="L42" s="47"/>
      <c r="O42" s="14"/>
      <c r="P42" s="46"/>
      <c r="Q42" s="46"/>
    </row>
    <row r="43" spans="2:17" ht="26.25">
      <c r="B43" s="67" t="s">
        <v>38</v>
      </c>
      <c r="C43" s="68"/>
      <c r="D43" s="68"/>
      <c r="E43" s="68"/>
      <c r="F43" s="68"/>
      <c r="G43" s="68"/>
      <c r="H43" s="68"/>
      <c r="J43" s="17"/>
      <c r="K43" s="17"/>
      <c r="L43" s="17"/>
      <c r="O43" s="14"/>
      <c r="P43" s="46"/>
      <c r="Q43" s="46"/>
    </row>
    <row r="44" spans="2:17" ht="31.5">
      <c r="B44" s="69" t="s">
        <v>15</v>
      </c>
      <c r="C44" s="70" t="s">
        <v>16</v>
      </c>
      <c r="D44" s="70" t="s">
        <v>17</v>
      </c>
      <c r="E44" s="70" t="s">
        <v>18</v>
      </c>
      <c r="F44" s="71" t="s">
        <v>19</v>
      </c>
      <c r="G44" s="70" t="s">
        <v>20</v>
      </c>
      <c r="H44" s="72" t="s">
        <v>22</v>
      </c>
      <c r="O44" s="14"/>
      <c r="P44" s="46"/>
      <c r="Q44" s="46"/>
    </row>
    <row r="45" spans="2:17" ht="15.75">
      <c r="B45" s="73">
        <v>24</v>
      </c>
      <c r="C45" s="74" t="s">
        <v>39</v>
      </c>
      <c r="D45" s="75" t="s">
        <v>40</v>
      </c>
      <c r="E45" s="73" t="s">
        <v>41</v>
      </c>
      <c r="F45" s="76">
        <v>2869.99</v>
      </c>
      <c r="G45" s="76">
        <f>0.06*F45</f>
        <v>172.19939999999997</v>
      </c>
      <c r="H45" s="77">
        <v>0.2</v>
      </c>
      <c r="O45" s="14"/>
      <c r="P45" s="46"/>
      <c r="Q45" s="46"/>
    </row>
    <row r="46" spans="2:17" ht="21" thickBot="1">
      <c r="B46" s="78"/>
      <c r="C46" s="79"/>
      <c r="D46" s="79"/>
      <c r="E46" s="80"/>
      <c r="F46" s="81">
        <f>SUM(F45:F45)</f>
        <v>2869.99</v>
      </c>
      <c r="G46" s="82"/>
      <c r="H46" s="83"/>
      <c r="J46" s="31"/>
      <c r="K46" s="31"/>
      <c r="L46" s="31"/>
      <c r="O46" s="14"/>
      <c r="P46" s="46"/>
      <c r="Q46" s="46"/>
    </row>
    <row r="47" spans="15:17" ht="15">
      <c r="O47" s="14"/>
      <c r="P47" s="46"/>
      <c r="Q47" s="46"/>
    </row>
    <row r="48" spans="3:17" ht="15">
      <c r="C48" s="32" t="s">
        <v>74</v>
      </c>
      <c r="D48" s="33">
        <f>G45</f>
        <v>172.19939999999997</v>
      </c>
      <c r="E48" s="104"/>
      <c r="F48" s="105"/>
      <c r="G48" s="105"/>
      <c r="H48" s="34"/>
      <c r="I48" s="34"/>
      <c r="O48" s="14"/>
      <c r="P48" s="46"/>
      <c r="Q48" s="46"/>
    </row>
    <row r="49" spans="3:17" ht="15">
      <c r="C49" s="32"/>
      <c r="D49" s="32"/>
      <c r="E49" s="36" t="s">
        <v>42</v>
      </c>
      <c r="F49" s="36"/>
      <c r="G49" s="36"/>
      <c r="H49" s="36"/>
      <c r="I49" s="37"/>
      <c r="O49" s="14"/>
      <c r="P49" s="46"/>
      <c r="Q49" s="46"/>
    </row>
    <row r="50" spans="3:12" ht="60">
      <c r="C50" s="38" t="s">
        <v>31</v>
      </c>
      <c r="D50" s="39" t="s">
        <v>32</v>
      </c>
      <c r="E50" s="39" t="s">
        <v>33</v>
      </c>
      <c r="F50" s="39" t="s">
        <v>34</v>
      </c>
      <c r="G50" s="39" t="s">
        <v>35</v>
      </c>
      <c r="H50" s="39" t="s">
        <v>36</v>
      </c>
      <c r="I50" s="39" t="s">
        <v>37</v>
      </c>
      <c r="J50" s="16"/>
      <c r="K50" s="16"/>
      <c r="L50" s="16"/>
    </row>
    <row r="51" spans="2:12" ht="15">
      <c r="B51" s="14">
        <v>1</v>
      </c>
      <c r="C51" s="41">
        <v>2021</v>
      </c>
      <c r="D51" s="42">
        <f>$D$48-E51</f>
        <v>154.97945999999996</v>
      </c>
      <c r="E51" s="43">
        <f>$G$45*$H$45/2</f>
        <v>17.219939999999998</v>
      </c>
      <c r="F51" s="43">
        <f>F45*H45/2</f>
        <v>286.99899999999997</v>
      </c>
      <c r="G51" s="43">
        <v>0</v>
      </c>
      <c r="H51" s="43">
        <f aca="true" t="shared" si="5" ref="H51:H56">D51-G51</f>
        <v>154.97945999999996</v>
      </c>
      <c r="I51" s="43">
        <f>$D$48/5</f>
        <v>34.439879999999995</v>
      </c>
      <c r="J51" s="16"/>
      <c r="K51" s="16"/>
      <c r="L51" s="16"/>
    </row>
    <row r="52" spans="2:12" ht="15">
      <c r="B52" s="14">
        <f>B51+1</f>
        <v>2</v>
      </c>
      <c r="C52" s="41">
        <v>2022</v>
      </c>
      <c r="D52" s="42">
        <f>D51-E52</f>
        <v>120.53957999999997</v>
      </c>
      <c r="E52" s="43">
        <f>$G$45*$H$45</f>
        <v>34.439879999999995</v>
      </c>
      <c r="F52" s="43">
        <f>F45*H45</f>
        <v>573.9979999999999</v>
      </c>
      <c r="G52" s="43">
        <v>0</v>
      </c>
      <c r="H52" s="43">
        <f t="shared" si="5"/>
        <v>120.53957999999997</v>
      </c>
      <c r="I52" s="43">
        <f>$D$48/5</f>
        <v>34.439879999999995</v>
      </c>
      <c r="J52" s="16"/>
      <c r="K52" s="16"/>
      <c r="L52" s="16"/>
    </row>
    <row r="53" spans="2:12" ht="15">
      <c r="B53" s="14">
        <f>B52+1</f>
        <v>3</v>
      </c>
      <c r="C53" s="41">
        <f>C52+1</f>
        <v>2023</v>
      </c>
      <c r="D53" s="42">
        <f>D52-E53</f>
        <v>86.09969999999998</v>
      </c>
      <c r="E53" s="43">
        <f>$G$45*$H$45</f>
        <v>34.439879999999995</v>
      </c>
      <c r="F53" s="43">
        <f>F45*H45</f>
        <v>573.9979999999999</v>
      </c>
      <c r="G53" s="43">
        <v>0</v>
      </c>
      <c r="H53" s="43">
        <f t="shared" si="5"/>
        <v>86.09969999999998</v>
      </c>
      <c r="I53" s="43">
        <f>$D$48/5</f>
        <v>34.439879999999995</v>
      </c>
      <c r="J53" s="16"/>
      <c r="K53" s="16"/>
      <c r="L53" s="16"/>
    </row>
    <row r="54" spans="2:12" ht="15">
      <c r="B54" s="14">
        <f>B53+1</f>
        <v>4</v>
      </c>
      <c r="C54" s="41">
        <f>C53+1</f>
        <v>2024</v>
      </c>
      <c r="D54" s="42">
        <f>D53-E54</f>
        <v>51.65981999999999</v>
      </c>
      <c r="E54" s="43">
        <f>$G$45*$H$45</f>
        <v>34.439879999999995</v>
      </c>
      <c r="F54" s="43">
        <f>F45*H45</f>
        <v>573.9979999999999</v>
      </c>
      <c r="G54" s="43">
        <v>0</v>
      </c>
      <c r="H54" s="43">
        <f t="shared" si="5"/>
        <v>51.65981999999999</v>
      </c>
      <c r="I54" s="43">
        <f>$D$48/5</f>
        <v>34.439879999999995</v>
      </c>
      <c r="J54" s="16"/>
      <c r="K54" s="16"/>
      <c r="L54" s="16"/>
    </row>
    <row r="55" spans="2:12" ht="15">
      <c r="B55" s="14">
        <f>B54+1</f>
        <v>5</v>
      </c>
      <c r="C55" s="41">
        <f>C54+1</f>
        <v>2025</v>
      </c>
      <c r="D55" s="42">
        <f>D54-E55</f>
        <v>17.219939999999994</v>
      </c>
      <c r="E55" s="43">
        <f>$G$45*$H$45</f>
        <v>34.439879999999995</v>
      </c>
      <c r="F55" s="43">
        <f>F45*H45</f>
        <v>573.9979999999999</v>
      </c>
      <c r="G55" s="43">
        <v>0</v>
      </c>
      <c r="H55" s="43">
        <f t="shared" si="5"/>
        <v>17.219939999999994</v>
      </c>
      <c r="I55" s="43">
        <f>$D$48/5</f>
        <v>34.439879999999995</v>
      </c>
      <c r="J55" s="16"/>
      <c r="K55" s="16"/>
      <c r="L55" s="16"/>
    </row>
    <row r="56" spans="2:12" ht="15">
      <c r="B56" s="14">
        <f>B55+1</f>
        <v>6</v>
      </c>
      <c r="C56" s="41">
        <f>C55+1</f>
        <v>2026</v>
      </c>
      <c r="D56" s="42">
        <f>D55-E56</f>
        <v>0</v>
      </c>
      <c r="E56" s="43">
        <f>$G$45*$H$45/2</f>
        <v>17.219939999999998</v>
      </c>
      <c r="F56" s="43">
        <f>F45*H45/2</f>
        <v>286.99899999999997</v>
      </c>
      <c r="G56" s="43">
        <v>0</v>
      </c>
      <c r="H56" s="43">
        <f t="shared" si="5"/>
        <v>0</v>
      </c>
      <c r="I56" s="43">
        <v>0</v>
      </c>
      <c r="J56" s="16"/>
      <c r="K56" s="16"/>
      <c r="L56" s="16"/>
    </row>
    <row r="57" ht="15">
      <c r="E57" s="15"/>
    </row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</sheetData>
  <sheetProtection/>
  <mergeCells count="6">
    <mergeCell ref="E48:G48"/>
    <mergeCell ref="J4:J5"/>
    <mergeCell ref="E21:F21"/>
    <mergeCell ref="E20:F20"/>
    <mergeCell ref="G21:H21"/>
    <mergeCell ref="G20:H20"/>
  </mergeCells>
  <printOptions/>
  <pageMargins left="0.7" right="0.7" top="0.75" bottom="0.75" header="0.3" footer="0.3"/>
  <pageSetup orientation="portrait" paperSize="9"/>
  <customProperties>
    <customPr name="EpmWorksheetKeyString_GUID" r:id="rId3"/>
  </customPropertie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V171"/>
  <sheetViews>
    <sheetView zoomScale="57" zoomScaleNormal="57" zoomScalePageLayoutView="0" workbookViewId="0" topLeftCell="A28">
      <selection activeCell="D16" sqref="D16"/>
    </sheetView>
  </sheetViews>
  <sheetFormatPr defaultColWidth="8.8515625" defaultRowHeight="15"/>
  <cols>
    <col min="1" max="1" width="2.00390625" style="0" customWidth="1"/>
    <col min="2" max="2" width="4.140625" style="50" bestFit="1" customWidth="1"/>
    <col min="3" max="3" width="41.421875" style="15" bestFit="1" customWidth="1"/>
    <col min="4" max="4" width="32.421875" style="15" bestFit="1" customWidth="1"/>
    <col min="5" max="5" width="43.00390625" style="50" customWidth="1"/>
    <col min="6" max="6" width="23.28125" style="50" customWidth="1"/>
    <col min="7" max="7" width="24.7109375" style="50" customWidth="1"/>
    <col min="8" max="8" width="22.00390625" style="50" customWidth="1"/>
    <col min="9" max="12" width="20.28125" style="50" customWidth="1"/>
    <col min="13" max="13" width="28.00390625" style="50" customWidth="1"/>
    <col min="14" max="14" width="26.421875" style="50" bestFit="1" customWidth="1"/>
    <col min="15" max="15" width="28.00390625" style="48" bestFit="1" customWidth="1"/>
    <col min="16" max="17" width="25.8515625" style="49" customWidth="1"/>
    <col min="18" max="18" width="49.421875" style="6" customWidth="1"/>
    <col min="19" max="19" width="18.7109375" style="7" customWidth="1"/>
    <col min="20" max="20" width="1.8515625" style="16" customWidth="1"/>
    <col min="21" max="21" width="4.421875" style="13" customWidth="1"/>
    <col min="22" max="22" width="14.7109375" style="0" bestFit="1" customWidth="1"/>
    <col min="23" max="23" width="11.28125" style="0" bestFit="1" customWidth="1"/>
  </cols>
  <sheetData>
    <row r="1" spans="15:17" ht="18" customHeight="1">
      <c r="O1" s="50"/>
      <c r="P1" s="6"/>
      <c r="Q1" s="6"/>
    </row>
    <row r="2" spans="3:17" ht="18" customHeight="1">
      <c r="C2" s="32" t="s">
        <v>56</v>
      </c>
      <c r="O2" s="50"/>
      <c r="P2" s="6"/>
      <c r="Q2" s="6"/>
    </row>
    <row r="3" spans="3:17" ht="18" customHeight="1">
      <c r="C3" s="64" t="s">
        <v>55</v>
      </c>
      <c r="D3" s="64" t="s">
        <v>57</v>
      </c>
      <c r="E3" s="64" t="s">
        <v>59</v>
      </c>
      <c r="F3" s="64" t="s">
        <v>58</v>
      </c>
      <c r="O3" s="50"/>
      <c r="P3" s="6"/>
      <c r="Q3" s="6"/>
    </row>
    <row r="4" spans="3:17" ht="18" customHeight="1">
      <c r="C4" s="62" t="s">
        <v>76</v>
      </c>
      <c r="D4" s="63">
        <v>0.1</v>
      </c>
      <c r="E4" s="63">
        <v>0.1</v>
      </c>
      <c r="F4" s="63">
        <v>0.06</v>
      </c>
      <c r="H4" s="96" t="s">
        <v>81</v>
      </c>
      <c r="O4" s="50"/>
      <c r="P4" s="6"/>
      <c r="Q4" s="6"/>
    </row>
    <row r="5" spans="3:17" ht="18" customHeight="1">
      <c r="C5" s="62" t="s">
        <v>77</v>
      </c>
      <c r="D5" s="63">
        <v>0.1</v>
      </c>
      <c r="E5" s="63">
        <v>0.1</v>
      </c>
      <c r="F5" s="63">
        <v>0.06</v>
      </c>
      <c r="H5" s="28">
        <f>F11+F12+F13+F14+F15+F16+F17</f>
        <v>1671073.5899999999</v>
      </c>
      <c r="O5" s="50"/>
      <c r="P5" s="6"/>
      <c r="Q5" s="6"/>
    </row>
    <row r="6" spans="3:17" ht="18" customHeight="1">
      <c r="C6" s="62" t="s">
        <v>78</v>
      </c>
      <c r="D6" s="27" t="s">
        <v>66</v>
      </c>
      <c r="E6" s="63" t="s">
        <v>64</v>
      </c>
      <c r="F6" s="27" t="s">
        <v>65</v>
      </c>
      <c r="H6" s="28">
        <f>2500000-H5</f>
        <v>828926.4100000001</v>
      </c>
      <c r="O6" s="50"/>
      <c r="P6" s="6"/>
      <c r="Q6" s="6"/>
    </row>
    <row r="7" spans="3:17" ht="18" customHeight="1">
      <c r="C7" s="62" t="s">
        <v>79</v>
      </c>
      <c r="D7" s="63">
        <v>0.15</v>
      </c>
      <c r="E7" s="63">
        <v>0.2</v>
      </c>
      <c r="F7" s="63">
        <v>0.2</v>
      </c>
      <c r="H7" s="28" t="e">
        <f>(F18-H6)+F19+F20+#REF!+#REF!+#REF!</f>
        <v>#REF!</v>
      </c>
      <c r="O7" s="50"/>
      <c r="P7" s="6"/>
      <c r="Q7" s="6"/>
    </row>
    <row r="8" spans="15:17" ht="18" customHeight="1">
      <c r="O8" s="50"/>
      <c r="P8" s="6"/>
      <c r="Q8" s="6"/>
    </row>
    <row r="9" spans="2:19" ht="18" customHeight="1">
      <c r="B9" s="55" t="s">
        <v>69</v>
      </c>
      <c r="C9" s="55"/>
      <c r="D9" s="55"/>
      <c r="E9" s="56"/>
      <c r="F9" s="56"/>
      <c r="G9" s="56"/>
      <c r="H9" s="56"/>
      <c r="M9" s="17"/>
      <c r="N9" s="18"/>
      <c r="O9" s="50"/>
      <c r="P9" s="6"/>
      <c r="Q9" s="6"/>
      <c r="S9" s="19"/>
    </row>
    <row r="10" spans="2:21" ht="30">
      <c r="B10" s="20" t="s">
        <v>15</v>
      </c>
      <c r="C10" s="20" t="s">
        <v>16</v>
      </c>
      <c r="D10" s="20" t="s">
        <v>17</v>
      </c>
      <c r="E10" s="20" t="s">
        <v>67</v>
      </c>
      <c r="F10" s="21" t="s">
        <v>19</v>
      </c>
      <c r="G10" s="22" t="s">
        <v>21</v>
      </c>
      <c r="H10" s="22" t="s">
        <v>22</v>
      </c>
      <c r="I10" s="23"/>
      <c r="K10" s="23"/>
      <c r="O10" s="50"/>
      <c r="P10" s="6"/>
      <c r="Q10" s="6"/>
      <c r="U10" s="16"/>
    </row>
    <row r="11" spans="2:21" ht="15">
      <c r="B11" s="65" t="s">
        <v>44</v>
      </c>
      <c r="C11" s="87" t="s">
        <v>70</v>
      </c>
      <c r="D11" s="89" t="s">
        <v>97</v>
      </c>
      <c r="E11" s="51" t="s">
        <v>59</v>
      </c>
      <c r="F11" s="91">
        <v>90000</v>
      </c>
      <c r="G11" s="92">
        <f>F11*0.5</f>
        <v>45000</v>
      </c>
      <c r="H11" s="94">
        <v>0.06</v>
      </c>
      <c r="I11" s="26"/>
      <c r="K11" s="26"/>
      <c r="O11" s="50"/>
      <c r="P11" s="6"/>
      <c r="Q11" s="6"/>
      <c r="U11" s="16"/>
    </row>
    <row r="12" spans="2:21" ht="15">
      <c r="B12" s="65" t="s">
        <v>46</v>
      </c>
      <c r="C12" s="87" t="s">
        <v>70</v>
      </c>
      <c r="D12" s="89" t="s">
        <v>98</v>
      </c>
      <c r="E12" s="51" t="s">
        <v>59</v>
      </c>
      <c r="F12" s="91">
        <v>30000</v>
      </c>
      <c r="G12" s="92">
        <f>F12*0.5</f>
        <v>15000</v>
      </c>
      <c r="H12" s="94">
        <v>0.06</v>
      </c>
      <c r="I12" s="26"/>
      <c r="K12" s="26"/>
      <c r="O12" s="50"/>
      <c r="P12" s="6"/>
      <c r="Q12" s="6"/>
      <c r="U12" s="16"/>
    </row>
    <row r="13" spans="2:21" ht="15">
      <c r="B13" s="65" t="s">
        <v>48</v>
      </c>
      <c r="C13" s="87" t="s">
        <v>70</v>
      </c>
      <c r="D13" s="89" t="s">
        <v>99</v>
      </c>
      <c r="E13" s="51" t="s">
        <v>59</v>
      </c>
      <c r="F13" s="91">
        <v>15000</v>
      </c>
      <c r="G13" s="92">
        <f>F13*0.5</f>
        <v>7500</v>
      </c>
      <c r="H13" s="94">
        <v>0.06</v>
      </c>
      <c r="I13" s="26"/>
      <c r="K13" s="26"/>
      <c r="O13" s="50"/>
      <c r="P13" s="6"/>
      <c r="Q13" s="6"/>
      <c r="U13" s="16"/>
    </row>
    <row r="14" spans="2:21" ht="15">
      <c r="B14" s="27" t="s">
        <v>50</v>
      </c>
      <c r="C14" s="87" t="s">
        <v>70</v>
      </c>
      <c r="D14" s="89" t="s">
        <v>100</v>
      </c>
      <c r="E14" s="51" t="s">
        <v>59</v>
      </c>
      <c r="F14" s="91">
        <v>37000</v>
      </c>
      <c r="G14" s="92">
        <f>F14*0.5</f>
        <v>18500</v>
      </c>
      <c r="H14" s="94">
        <v>0.06</v>
      </c>
      <c r="I14" s="26"/>
      <c r="K14" s="26"/>
      <c r="O14" s="50"/>
      <c r="P14" s="6"/>
      <c r="Q14" s="6"/>
      <c r="U14" s="16"/>
    </row>
    <row r="15" spans="2:22" ht="30">
      <c r="B15" s="65">
        <v>31</v>
      </c>
      <c r="C15" s="88" t="s">
        <v>27</v>
      </c>
      <c r="D15" s="90" t="s">
        <v>106</v>
      </c>
      <c r="E15" s="51" t="s">
        <v>59</v>
      </c>
      <c r="F15" s="93">
        <v>976773.59</v>
      </c>
      <c r="G15" s="92">
        <f>0.5*F15</f>
        <v>488386.795</v>
      </c>
      <c r="H15" s="94">
        <v>0.03</v>
      </c>
      <c r="I15" s="26"/>
      <c r="K15" s="26"/>
      <c r="O15" s="50"/>
      <c r="P15" s="6"/>
      <c r="Q15" s="6"/>
      <c r="V15" s="13"/>
    </row>
    <row r="16" spans="2:17" ht="15">
      <c r="B16" s="27">
        <v>19</v>
      </c>
      <c r="C16" s="87" t="s">
        <v>25</v>
      </c>
      <c r="D16" s="90" t="s">
        <v>101</v>
      </c>
      <c r="E16" s="51" t="s">
        <v>59</v>
      </c>
      <c r="F16" s="93">
        <v>255000</v>
      </c>
      <c r="G16" s="92">
        <f>0.5*F16</f>
        <v>127500</v>
      </c>
      <c r="H16" s="94">
        <v>0.0334</v>
      </c>
      <c r="I16" s="26"/>
      <c r="J16" s="14"/>
      <c r="K16" s="26"/>
      <c r="N16" s="14"/>
      <c r="O16" s="14"/>
      <c r="P16" s="6"/>
      <c r="Q16" s="6"/>
    </row>
    <row r="17" spans="2:17" ht="15">
      <c r="B17" s="27">
        <v>25</v>
      </c>
      <c r="C17" s="87" t="s">
        <v>26</v>
      </c>
      <c r="D17" s="90" t="s">
        <v>102</v>
      </c>
      <c r="E17" s="51" t="s">
        <v>59</v>
      </c>
      <c r="F17" s="93">
        <v>267300</v>
      </c>
      <c r="G17" s="92">
        <f>0.5*F17</f>
        <v>133650</v>
      </c>
      <c r="H17" s="94">
        <v>0.06</v>
      </c>
      <c r="I17" s="26"/>
      <c r="J17" s="14"/>
      <c r="K17" s="26"/>
      <c r="N17" s="14"/>
      <c r="O17" s="14"/>
      <c r="P17" s="6"/>
      <c r="Q17" s="6"/>
    </row>
    <row r="18" spans="2:22" ht="14.25" customHeight="1">
      <c r="B18" s="27">
        <v>33</v>
      </c>
      <c r="C18" s="87" t="s">
        <v>28</v>
      </c>
      <c r="D18" s="90" t="s">
        <v>103</v>
      </c>
      <c r="E18" s="51" t="s">
        <v>59</v>
      </c>
      <c r="F18" s="93">
        <v>1071000</v>
      </c>
      <c r="G18" s="92">
        <f>(F18-H6)*0.3+(H6*0.5)</f>
        <v>487085.282</v>
      </c>
      <c r="H18" s="94">
        <v>0.06</v>
      </c>
      <c r="I18" s="26"/>
      <c r="J18" s="14"/>
      <c r="K18" s="26"/>
      <c r="N18" s="14"/>
      <c r="O18" s="14"/>
      <c r="P18" s="6"/>
      <c r="Q18" s="6"/>
      <c r="V18" s="29"/>
    </row>
    <row r="19" spans="2:22" ht="14.25" customHeight="1">
      <c r="B19" s="51">
        <v>38</v>
      </c>
      <c r="C19" s="87" t="s">
        <v>51</v>
      </c>
      <c r="D19" s="90" t="s">
        <v>104</v>
      </c>
      <c r="E19" s="51" t="s">
        <v>59</v>
      </c>
      <c r="F19" s="93">
        <v>390000</v>
      </c>
      <c r="G19" s="92">
        <f>F19*0.3</f>
        <v>117000</v>
      </c>
      <c r="H19" s="94">
        <v>0.04</v>
      </c>
      <c r="I19" s="26"/>
      <c r="K19" s="26"/>
      <c r="O19" s="50"/>
      <c r="P19" s="6"/>
      <c r="Q19" s="6"/>
      <c r="V19" s="29"/>
    </row>
    <row r="20" spans="2:22" ht="14.25" customHeight="1">
      <c r="B20" s="51">
        <v>39</v>
      </c>
      <c r="C20" s="87" t="s">
        <v>53</v>
      </c>
      <c r="D20" s="90" t="s">
        <v>105</v>
      </c>
      <c r="E20" s="51" t="s">
        <v>59</v>
      </c>
      <c r="F20" s="93">
        <v>160000</v>
      </c>
      <c r="G20" s="92">
        <f>F20*0.3</f>
        <v>48000</v>
      </c>
      <c r="H20" s="95">
        <v>0.075</v>
      </c>
      <c r="I20" s="26"/>
      <c r="K20" s="26"/>
      <c r="O20" s="50"/>
      <c r="P20" s="6"/>
      <c r="Q20" s="6"/>
      <c r="V20" s="29"/>
    </row>
    <row r="21" spans="2:17" ht="20.25">
      <c r="B21" s="58"/>
      <c r="C21" s="59"/>
      <c r="D21" s="59"/>
      <c r="E21" s="58"/>
      <c r="F21" s="86">
        <f>SUM(F11:F20)</f>
        <v>3292073.59</v>
      </c>
      <c r="G21" s="86">
        <f>SUM(G11:G20)</f>
        <v>1487622.077</v>
      </c>
      <c r="H21" s="60"/>
      <c r="I21" s="26"/>
      <c r="K21" s="26"/>
      <c r="M21" s="31"/>
      <c r="O21" s="50"/>
      <c r="P21" s="6"/>
      <c r="Q21" s="6"/>
    </row>
    <row r="22" spans="15:17" ht="15">
      <c r="O22" s="50"/>
      <c r="P22" s="6"/>
      <c r="Q22" s="6"/>
    </row>
    <row r="23" spans="3:17" ht="15">
      <c r="C23" s="32" t="s">
        <v>75</v>
      </c>
      <c r="D23" s="33">
        <f>G21</f>
        <v>1487622.077</v>
      </c>
      <c r="E23" s="97"/>
      <c r="F23" s="103">
        <f>G11+G12+G13+G14+G17+G18</f>
        <v>706735.282</v>
      </c>
      <c r="G23" s="103"/>
      <c r="H23" s="66">
        <f>G15+G16</f>
        <v>615886.7949999999</v>
      </c>
      <c r="I23" s="66"/>
      <c r="J23" s="66">
        <f>G20</f>
        <v>48000</v>
      </c>
      <c r="K23" s="66"/>
      <c r="L23" s="66">
        <f>G19</f>
        <v>117000</v>
      </c>
      <c r="O23" s="50"/>
      <c r="P23" s="35"/>
      <c r="Q23" s="6"/>
    </row>
    <row r="24" spans="3:17" ht="15">
      <c r="C24" s="32"/>
      <c r="D24" s="32"/>
      <c r="E24" s="36"/>
      <c r="F24" s="36" t="s">
        <v>88</v>
      </c>
      <c r="G24" s="36"/>
      <c r="H24" s="36" t="s">
        <v>89</v>
      </c>
      <c r="I24" s="37"/>
      <c r="J24" s="37" t="s">
        <v>93</v>
      </c>
      <c r="K24" s="37"/>
      <c r="L24" s="37" t="s">
        <v>92</v>
      </c>
      <c r="O24" s="50"/>
      <c r="P24" s="39" t="s">
        <v>95</v>
      </c>
      <c r="Q24" s="6"/>
    </row>
    <row r="25" spans="3:19" ht="45">
      <c r="C25" s="38" t="s">
        <v>31</v>
      </c>
      <c r="D25" s="39" t="s">
        <v>91</v>
      </c>
      <c r="E25" s="39" t="s">
        <v>33</v>
      </c>
      <c r="F25" s="39" t="s">
        <v>34</v>
      </c>
      <c r="G25" s="39" t="s">
        <v>33</v>
      </c>
      <c r="H25" s="39" t="s">
        <v>90</v>
      </c>
      <c r="I25" s="39" t="s">
        <v>33</v>
      </c>
      <c r="J25" s="39" t="s">
        <v>90</v>
      </c>
      <c r="K25" s="39" t="s">
        <v>33</v>
      </c>
      <c r="L25" s="39" t="s">
        <v>34</v>
      </c>
      <c r="M25" s="39" t="s">
        <v>35</v>
      </c>
      <c r="N25" s="39" t="s">
        <v>36</v>
      </c>
      <c r="O25" s="39" t="s">
        <v>94</v>
      </c>
      <c r="P25" s="39" t="s">
        <v>96</v>
      </c>
      <c r="Q25" s="6"/>
      <c r="S25" s="40"/>
    </row>
    <row r="26" spans="2:19" ht="15">
      <c r="B26" s="50">
        <v>1</v>
      </c>
      <c r="C26" s="41">
        <v>2021</v>
      </c>
      <c r="D26" s="61">
        <f>$D$23-E26-G26-I26-K26</f>
        <v>1477638.1760375001</v>
      </c>
      <c r="E26" s="43">
        <f>(SUM($G$11:$G$14)+$G$17)*($H$11/2)/12*6</f>
        <v>3294.75</v>
      </c>
      <c r="F26" s="43">
        <f>(SUM($F$11:$F$14)+$F$17+$F$18)*($H$11/2)/12*6</f>
        <v>22654.5</v>
      </c>
      <c r="G26" s="43">
        <f>($G$15+$G$16)*(H15/2)/12*6</f>
        <v>4619.150962499999</v>
      </c>
      <c r="H26" s="43">
        <f>($F$15+$F$16)*(H15/2)/12*6</f>
        <v>9238.301924999998</v>
      </c>
      <c r="I26" s="44">
        <f>(G20*H20/2)/12*6</f>
        <v>900</v>
      </c>
      <c r="J26" s="44">
        <f>(F20*H20/2)/12*6</f>
        <v>3000</v>
      </c>
      <c r="K26" s="43">
        <f>($G$19*$H$19/2)/12*6</f>
        <v>1170</v>
      </c>
      <c r="L26" s="44">
        <f>($F$19*$H$19/2)/12*6</f>
        <v>3900</v>
      </c>
      <c r="M26" s="43">
        <v>0</v>
      </c>
      <c r="N26" s="43">
        <f>D26-M26</f>
        <v>1477638.1760375001</v>
      </c>
      <c r="O26" s="43">
        <f>G21/3</f>
        <v>495874.0256666667</v>
      </c>
      <c r="P26" s="28">
        <f>G21</f>
        <v>1487622.077</v>
      </c>
      <c r="Q26" s="6"/>
      <c r="S26" s="40"/>
    </row>
    <row r="27" spans="2:19" ht="15">
      <c r="B27" s="50">
        <f>B26+1</f>
        <v>2</v>
      </c>
      <c r="C27" s="41">
        <v>2022</v>
      </c>
      <c r="D27" s="61">
        <f>D26-E27-G27-I27-K27</f>
        <v>1406383.4401645001</v>
      </c>
      <c r="E27" s="43">
        <f>(SUM($G$11:$G$14)+$G$17+$G$18)*$H$11</f>
        <v>42404.11692</v>
      </c>
      <c r="F27" s="43">
        <f>(SUM($F$11:$F$14)+$F$17+$F$18)*$H$11</f>
        <v>90618</v>
      </c>
      <c r="G27" s="43">
        <f>(G15+G16)*H16</f>
        <v>20570.618952999997</v>
      </c>
      <c r="H27" s="43">
        <f>(F15+F16)*H16</f>
        <v>41141.237905999995</v>
      </c>
      <c r="I27" s="44">
        <f>(G20*H20)</f>
        <v>3600</v>
      </c>
      <c r="J27" s="44">
        <f>(F20*H20)</f>
        <v>12000</v>
      </c>
      <c r="K27" s="43">
        <f>($G$19*$H$19)</f>
        <v>4680</v>
      </c>
      <c r="L27" s="44">
        <f>($F$19*$H$19)</f>
        <v>15600</v>
      </c>
      <c r="M27" s="43">
        <v>0</v>
      </c>
      <c r="N27" s="43">
        <f>D27-M27</f>
        <v>1406383.4401645001</v>
      </c>
      <c r="O27" s="43">
        <f>O26</f>
        <v>495874.0256666667</v>
      </c>
      <c r="P27" s="6"/>
      <c r="Q27" s="6"/>
      <c r="S27" s="40"/>
    </row>
    <row r="28" spans="2:17" ht="15">
      <c r="B28" s="50">
        <f aca="true" t="shared" si="0" ref="B28:C43">B27+1</f>
        <v>3</v>
      </c>
      <c r="C28" s="41">
        <f>C27+1</f>
        <v>2023</v>
      </c>
      <c r="D28" s="61">
        <f>D27-E28-G28-I28-K28</f>
        <v>1335128.7042915002</v>
      </c>
      <c r="E28" s="43">
        <f aca="true" t="shared" si="1" ref="E28:E42">(SUM($G$11:$G$14)+$G$17+$G$18)*$H$11</f>
        <v>42404.11692</v>
      </c>
      <c r="F28" s="43">
        <f aca="true" t="shared" si="2" ref="F28:F42">(SUM($F$11:$F$14)+$F$17+$F$18)*$H$11</f>
        <v>90618</v>
      </c>
      <c r="G28" s="43">
        <f>G27</f>
        <v>20570.618952999997</v>
      </c>
      <c r="H28" s="43">
        <f>(F15+F16)*H16</f>
        <v>41141.237905999995</v>
      </c>
      <c r="I28" s="44">
        <f>I27</f>
        <v>3600</v>
      </c>
      <c r="J28" s="44">
        <f>J27</f>
        <v>12000</v>
      </c>
      <c r="K28" s="43">
        <f aca="true" t="shared" si="3" ref="K28:K50">($G$19*$H$19)</f>
        <v>4680</v>
      </c>
      <c r="L28" s="44">
        <f aca="true" t="shared" si="4" ref="L28:L50">($F$19*$H$19)</f>
        <v>15600</v>
      </c>
      <c r="M28" s="43">
        <v>0</v>
      </c>
      <c r="N28" s="43">
        <f>D28-M28</f>
        <v>1335128.7042915002</v>
      </c>
      <c r="O28" s="43">
        <f>O27</f>
        <v>495874.0256666667</v>
      </c>
      <c r="P28" s="6"/>
      <c r="Q28" s="6"/>
    </row>
    <row r="29" spans="2:19" ht="15">
      <c r="B29" s="50">
        <f t="shared" si="0"/>
        <v>4</v>
      </c>
      <c r="C29" s="41">
        <f t="shared" si="0"/>
        <v>2024</v>
      </c>
      <c r="D29" s="61">
        <f aca="true" t="shared" si="5" ref="D29:D56">D28-E29-G29-I29-K29</f>
        <v>1263873.9684185002</v>
      </c>
      <c r="E29" s="43">
        <f t="shared" si="1"/>
        <v>42404.11692</v>
      </c>
      <c r="F29" s="43">
        <f t="shared" si="2"/>
        <v>90618</v>
      </c>
      <c r="G29" s="43">
        <f aca="true" t="shared" si="6" ref="G29:G55">G28</f>
        <v>20570.618952999997</v>
      </c>
      <c r="H29" s="43">
        <f>H28</f>
        <v>41141.237905999995</v>
      </c>
      <c r="I29" s="44">
        <f aca="true" t="shared" si="7" ref="I29:J39">I28</f>
        <v>3600</v>
      </c>
      <c r="J29" s="44">
        <f t="shared" si="7"/>
        <v>12000</v>
      </c>
      <c r="K29" s="43">
        <f t="shared" si="3"/>
        <v>4680</v>
      </c>
      <c r="L29" s="44">
        <f t="shared" si="4"/>
        <v>15600</v>
      </c>
      <c r="M29" s="43">
        <v>0</v>
      </c>
      <c r="N29" s="43">
        <f>D29-M29</f>
        <v>1263873.9684185002</v>
      </c>
      <c r="O29" s="50"/>
      <c r="P29" s="6"/>
      <c r="Q29" s="6"/>
      <c r="S29" s="8"/>
    </row>
    <row r="30" spans="2:17" ht="15">
      <c r="B30" s="50">
        <f t="shared" si="0"/>
        <v>5</v>
      </c>
      <c r="C30" s="41">
        <f t="shared" si="0"/>
        <v>2025</v>
      </c>
      <c r="D30" s="61">
        <f t="shared" si="5"/>
        <v>1192619.2325455002</v>
      </c>
      <c r="E30" s="43">
        <f t="shared" si="1"/>
        <v>42404.11692</v>
      </c>
      <c r="F30" s="43">
        <f t="shared" si="2"/>
        <v>90618</v>
      </c>
      <c r="G30" s="43">
        <f t="shared" si="6"/>
        <v>20570.618952999997</v>
      </c>
      <c r="H30" s="43">
        <f aca="true" t="shared" si="8" ref="H30:H55">H29</f>
        <v>41141.237905999995</v>
      </c>
      <c r="I30" s="44">
        <f t="shared" si="7"/>
        <v>3600</v>
      </c>
      <c r="J30" s="44">
        <f t="shared" si="7"/>
        <v>12000</v>
      </c>
      <c r="K30" s="43">
        <f t="shared" si="3"/>
        <v>4680</v>
      </c>
      <c r="L30" s="44">
        <f t="shared" si="4"/>
        <v>15600</v>
      </c>
      <c r="M30" s="43">
        <v>0</v>
      </c>
      <c r="N30" s="43">
        <f>D30-M30</f>
        <v>1192619.2325455002</v>
      </c>
      <c r="O30" s="50"/>
      <c r="P30" s="6"/>
      <c r="Q30" s="6"/>
    </row>
    <row r="31" spans="2:22" s="6" customFormat="1" ht="15">
      <c r="B31" s="50">
        <f t="shared" si="0"/>
        <v>6</v>
      </c>
      <c r="C31" s="41">
        <f t="shared" si="0"/>
        <v>2026</v>
      </c>
      <c r="D31" s="61">
        <f t="shared" si="5"/>
        <v>1121364.4966725002</v>
      </c>
      <c r="E31" s="43">
        <f t="shared" si="1"/>
        <v>42404.11692</v>
      </c>
      <c r="F31" s="43">
        <f t="shared" si="2"/>
        <v>90618</v>
      </c>
      <c r="G31" s="43">
        <f t="shared" si="6"/>
        <v>20570.618952999997</v>
      </c>
      <c r="H31" s="43">
        <f t="shared" si="8"/>
        <v>41141.237905999995</v>
      </c>
      <c r="I31" s="44">
        <f t="shared" si="7"/>
        <v>3600</v>
      </c>
      <c r="J31" s="44">
        <f t="shared" si="7"/>
        <v>12000</v>
      </c>
      <c r="K31" s="43">
        <f t="shared" si="3"/>
        <v>4680</v>
      </c>
      <c r="L31" s="44">
        <f t="shared" si="4"/>
        <v>15600</v>
      </c>
      <c r="M31" s="43">
        <v>0</v>
      </c>
      <c r="N31" s="43">
        <f>D31-M31</f>
        <v>1121364.4966725002</v>
      </c>
      <c r="S31" s="7"/>
      <c r="T31" s="16"/>
      <c r="U31" s="13"/>
      <c r="V31"/>
    </row>
    <row r="32" spans="2:22" s="6" customFormat="1" ht="15">
      <c r="B32" s="50">
        <f t="shared" si="0"/>
        <v>7</v>
      </c>
      <c r="C32" s="41">
        <f t="shared" si="0"/>
        <v>2027</v>
      </c>
      <c r="D32" s="61">
        <f t="shared" si="5"/>
        <v>1050109.7607995002</v>
      </c>
      <c r="E32" s="43">
        <f t="shared" si="1"/>
        <v>42404.11692</v>
      </c>
      <c r="F32" s="43">
        <f t="shared" si="2"/>
        <v>90618</v>
      </c>
      <c r="G32" s="43">
        <f t="shared" si="6"/>
        <v>20570.618952999997</v>
      </c>
      <c r="H32" s="43">
        <f t="shared" si="8"/>
        <v>41141.237905999995</v>
      </c>
      <c r="I32" s="44">
        <f t="shared" si="7"/>
        <v>3600</v>
      </c>
      <c r="J32" s="44">
        <f t="shared" si="7"/>
        <v>12000</v>
      </c>
      <c r="K32" s="43">
        <f t="shared" si="3"/>
        <v>4680</v>
      </c>
      <c r="L32" s="44">
        <f t="shared" si="4"/>
        <v>15600</v>
      </c>
      <c r="M32" s="43">
        <v>0</v>
      </c>
      <c r="N32" s="43">
        <f>D32-M32</f>
        <v>1050109.7607995002</v>
      </c>
      <c r="S32" s="7"/>
      <c r="T32" s="16"/>
      <c r="U32" s="13"/>
      <c r="V32"/>
    </row>
    <row r="33" spans="2:22" s="6" customFormat="1" ht="15">
      <c r="B33" s="50">
        <f t="shared" si="0"/>
        <v>8</v>
      </c>
      <c r="C33" s="41">
        <f t="shared" si="0"/>
        <v>2028</v>
      </c>
      <c r="D33" s="61">
        <f t="shared" si="5"/>
        <v>978855.0249265002</v>
      </c>
      <c r="E33" s="43">
        <f t="shared" si="1"/>
        <v>42404.11692</v>
      </c>
      <c r="F33" s="43">
        <f t="shared" si="2"/>
        <v>90618</v>
      </c>
      <c r="G33" s="43">
        <f t="shared" si="6"/>
        <v>20570.618952999997</v>
      </c>
      <c r="H33" s="43">
        <f t="shared" si="8"/>
        <v>41141.237905999995</v>
      </c>
      <c r="I33" s="44">
        <f t="shared" si="7"/>
        <v>3600</v>
      </c>
      <c r="J33" s="44">
        <f t="shared" si="7"/>
        <v>12000</v>
      </c>
      <c r="K33" s="43">
        <f t="shared" si="3"/>
        <v>4680</v>
      </c>
      <c r="L33" s="44">
        <f t="shared" si="4"/>
        <v>15600</v>
      </c>
      <c r="M33" s="43">
        <v>0</v>
      </c>
      <c r="N33" s="43">
        <f>D33-M33</f>
        <v>978855.0249265002</v>
      </c>
      <c r="S33" s="7"/>
      <c r="T33" s="16"/>
      <c r="U33" s="13"/>
      <c r="V33"/>
    </row>
    <row r="34" spans="2:22" s="6" customFormat="1" ht="15">
      <c r="B34" s="50">
        <f t="shared" si="0"/>
        <v>9</v>
      </c>
      <c r="C34" s="41">
        <f t="shared" si="0"/>
        <v>2029</v>
      </c>
      <c r="D34" s="61">
        <f t="shared" si="5"/>
        <v>907600.2890535002</v>
      </c>
      <c r="E34" s="43">
        <f t="shared" si="1"/>
        <v>42404.11692</v>
      </c>
      <c r="F34" s="43">
        <f t="shared" si="2"/>
        <v>90618</v>
      </c>
      <c r="G34" s="43">
        <f t="shared" si="6"/>
        <v>20570.618952999997</v>
      </c>
      <c r="H34" s="43">
        <f t="shared" si="8"/>
        <v>41141.237905999995</v>
      </c>
      <c r="I34" s="44">
        <f t="shared" si="7"/>
        <v>3600</v>
      </c>
      <c r="J34" s="44">
        <f t="shared" si="7"/>
        <v>12000</v>
      </c>
      <c r="K34" s="43">
        <f t="shared" si="3"/>
        <v>4680</v>
      </c>
      <c r="L34" s="44">
        <f t="shared" si="4"/>
        <v>15600</v>
      </c>
      <c r="M34" s="43">
        <v>0</v>
      </c>
      <c r="N34" s="43">
        <f>D34-M34</f>
        <v>907600.2890535002</v>
      </c>
      <c r="O34" s="50"/>
      <c r="S34" s="7"/>
      <c r="T34" s="16"/>
      <c r="U34" s="13"/>
      <c r="V34"/>
    </row>
    <row r="35" spans="2:22" s="6" customFormat="1" ht="15">
      <c r="B35" s="50">
        <f t="shared" si="0"/>
        <v>10</v>
      </c>
      <c r="C35" s="41">
        <f t="shared" si="0"/>
        <v>2030</v>
      </c>
      <c r="D35" s="61">
        <f t="shared" si="5"/>
        <v>836345.5531805002</v>
      </c>
      <c r="E35" s="43">
        <f t="shared" si="1"/>
        <v>42404.11692</v>
      </c>
      <c r="F35" s="43">
        <f t="shared" si="2"/>
        <v>90618</v>
      </c>
      <c r="G35" s="43">
        <f t="shared" si="6"/>
        <v>20570.618952999997</v>
      </c>
      <c r="H35" s="43">
        <f t="shared" si="8"/>
        <v>41141.237905999995</v>
      </c>
      <c r="I35" s="44">
        <f t="shared" si="7"/>
        <v>3600</v>
      </c>
      <c r="J35" s="44">
        <f t="shared" si="7"/>
        <v>12000</v>
      </c>
      <c r="K35" s="43">
        <f t="shared" si="3"/>
        <v>4680</v>
      </c>
      <c r="L35" s="44">
        <f t="shared" si="4"/>
        <v>15600</v>
      </c>
      <c r="M35" s="43">
        <v>0</v>
      </c>
      <c r="N35" s="43">
        <f>D35-M35</f>
        <v>836345.5531805002</v>
      </c>
      <c r="O35" s="50"/>
      <c r="S35" s="7"/>
      <c r="T35" s="16"/>
      <c r="U35" s="13"/>
      <c r="V35"/>
    </row>
    <row r="36" spans="2:22" s="6" customFormat="1" ht="15">
      <c r="B36" s="50">
        <f t="shared" si="0"/>
        <v>11</v>
      </c>
      <c r="C36" s="41">
        <f t="shared" si="0"/>
        <v>2031</v>
      </c>
      <c r="D36" s="61">
        <f t="shared" si="5"/>
        <v>765090.8173075002</v>
      </c>
      <c r="E36" s="43">
        <f t="shared" si="1"/>
        <v>42404.11692</v>
      </c>
      <c r="F36" s="43">
        <f t="shared" si="2"/>
        <v>90618</v>
      </c>
      <c r="G36" s="43">
        <f t="shared" si="6"/>
        <v>20570.618952999997</v>
      </c>
      <c r="H36" s="43">
        <f t="shared" si="8"/>
        <v>41141.237905999995</v>
      </c>
      <c r="I36" s="44">
        <f t="shared" si="7"/>
        <v>3600</v>
      </c>
      <c r="J36" s="44">
        <f t="shared" si="7"/>
        <v>12000</v>
      </c>
      <c r="K36" s="43">
        <f t="shared" si="3"/>
        <v>4680</v>
      </c>
      <c r="L36" s="44">
        <f t="shared" si="4"/>
        <v>15600</v>
      </c>
      <c r="M36" s="43">
        <v>0</v>
      </c>
      <c r="N36" s="43">
        <f>D36-M36</f>
        <v>765090.8173075002</v>
      </c>
      <c r="O36" s="50"/>
      <c r="S36" s="7"/>
      <c r="T36" s="16"/>
      <c r="U36" s="13"/>
      <c r="V36"/>
    </row>
    <row r="37" spans="2:22" s="6" customFormat="1" ht="15">
      <c r="B37" s="50">
        <f t="shared" si="0"/>
        <v>12</v>
      </c>
      <c r="C37" s="41">
        <f t="shared" si="0"/>
        <v>2032</v>
      </c>
      <c r="D37" s="61">
        <f t="shared" si="5"/>
        <v>693836.0814345002</v>
      </c>
      <c r="E37" s="43">
        <f t="shared" si="1"/>
        <v>42404.11692</v>
      </c>
      <c r="F37" s="43">
        <f t="shared" si="2"/>
        <v>90618</v>
      </c>
      <c r="G37" s="43">
        <f t="shared" si="6"/>
        <v>20570.618952999997</v>
      </c>
      <c r="H37" s="43">
        <f t="shared" si="8"/>
        <v>41141.237905999995</v>
      </c>
      <c r="I37" s="44">
        <f t="shared" si="7"/>
        <v>3600</v>
      </c>
      <c r="J37" s="44">
        <f t="shared" si="7"/>
        <v>12000</v>
      </c>
      <c r="K37" s="43">
        <f t="shared" si="3"/>
        <v>4680</v>
      </c>
      <c r="L37" s="44">
        <f t="shared" si="4"/>
        <v>15600</v>
      </c>
      <c r="M37" s="43">
        <v>0</v>
      </c>
      <c r="N37" s="43">
        <f>D37-M37</f>
        <v>693836.0814345002</v>
      </c>
      <c r="O37" s="50"/>
      <c r="S37" s="7"/>
      <c r="T37" s="16"/>
      <c r="U37" s="13"/>
      <c r="V37"/>
    </row>
    <row r="38" spans="2:22" s="6" customFormat="1" ht="15">
      <c r="B38" s="50">
        <f t="shared" si="0"/>
        <v>13</v>
      </c>
      <c r="C38" s="41">
        <f t="shared" si="0"/>
        <v>2033</v>
      </c>
      <c r="D38" s="61">
        <f t="shared" si="5"/>
        <v>622581.3455615002</v>
      </c>
      <c r="E38" s="43">
        <f t="shared" si="1"/>
        <v>42404.11692</v>
      </c>
      <c r="F38" s="43">
        <f t="shared" si="2"/>
        <v>90618</v>
      </c>
      <c r="G38" s="43">
        <f t="shared" si="6"/>
        <v>20570.618952999997</v>
      </c>
      <c r="H38" s="43">
        <f t="shared" si="8"/>
        <v>41141.237905999995</v>
      </c>
      <c r="I38" s="44">
        <f t="shared" si="7"/>
        <v>3600</v>
      </c>
      <c r="J38" s="44">
        <f t="shared" si="7"/>
        <v>12000</v>
      </c>
      <c r="K38" s="43">
        <f t="shared" si="3"/>
        <v>4680</v>
      </c>
      <c r="L38" s="44">
        <f t="shared" si="4"/>
        <v>15600</v>
      </c>
      <c r="M38" s="43">
        <v>0</v>
      </c>
      <c r="N38" s="43">
        <f>D38-M38</f>
        <v>622581.3455615002</v>
      </c>
      <c r="O38" s="50"/>
      <c r="S38" s="7"/>
      <c r="T38" s="16"/>
      <c r="U38" s="13"/>
      <c r="V38"/>
    </row>
    <row r="39" spans="2:22" s="6" customFormat="1" ht="15">
      <c r="B39" s="50">
        <f t="shared" si="0"/>
        <v>14</v>
      </c>
      <c r="C39" s="41">
        <f t="shared" si="0"/>
        <v>2034</v>
      </c>
      <c r="D39" s="61">
        <f t="shared" si="5"/>
        <v>551326.6096885002</v>
      </c>
      <c r="E39" s="43">
        <f t="shared" si="1"/>
        <v>42404.11692</v>
      </c>
      <c r="F39" s="43">
        <f t="shared" si="2"/>
        <v>90618</v>
      </c>
      <c r="G39" s="43">
        <f t="shared" si="6"/>
        <v>20570.618952999997</v>
      </c>
      <c r="H39" s="43">
        <f t="shared" si="8"/>
        <v>41141.237905999995</v>
      </c>
      <c r="I39" s="44">
        <f t="shared" si="7"/>
        <v>3600</v>
      </c>
      <c r="J39" s="44">
        <f>J38</f>
        <v>12000</v>
      </c>
      <c r="K39" s="43">
        <f t="shared" si="3"/>
        <v>4680</v>
      </c>
      <c r="L39" s="44">
        <f t="shared" si="4"/>
        <v>15600</v>
      </c>
      <c r="M39" s="43">
        <v>0</v>
      </c>
      <c r="N39" s="43">
        <f>D39-M39</f>
        <v>551326.6096885002</v>
      </c>
      <c r="O39" s="50"/>
      <c r="S39" s="7"/>
      <c r="T39" s="16"/>
      <c r="U39" s="13"/>
      <c r="V39"/>
    </row>
    <row r="40" spans="2:22" s="6" customFormat="1" ht="15">
      <c r="B40" s="50">
        <f t="shared" si="0"/>
        <v>15</v>
      </c>
      <c r="C40" s="41">
        <f t="shared" si="0"/>
        <v>2035</v>
      </c>
      <c r="D40" s="61">
        <f t="shared" si="5"/>
        <v>483371.8738155002</v>
      </c>
      <c r="E40" s="43">
        <f t="shared" si="1"/>
        <v>42404.11692</v>
      </c>
      <c r="F40" s="43">
        <f t="shared" si="2"/>
        <v>90618</v>
      </c>
      <c r="G40" s="43">
        <f t="shared" si="6"/>
        <v>20570.618952999997</v>
      </c>
      <c r="H40" s="43">
        <f t="shared" si="8"/>
        <v>41141.237905999995</v>
      </c>
      <c r="I40" s="44">
        <f>G20-SUM(I26:I39)</f>
        <v>300</v>
      </c>
      <c r="J40" s="44">
        <f>F20-SUM(J26:J39)</f>
        <v>1000</v>
      </c>
      <c r="K40" s="43">
        <f t="shared" si="3"/>
        <v>4680</v>
      </c>
      <c r="L40" s="44">
        <f t="shared" si="4"/>
        <v>15600</v>
      </c>
      <c r="M40" s="43">
        <v>0</v>
      </c>
      <c r="N40" s="43">
        <f>D40-M40</f>
        <v>483371.8738155002</v>
      </c>
      <c r="O40" s="50"/>
      <c r="S40" s="7"/>
      <c r="T40" s="16"/>
      <c r="U40" s="13"/>
      <c r="V40"/>
    </row>
    <row r="41" spans="2:22" s="6" customFormat="1" ht="15">
      <c r="B41" s="50">
        <f t="shared" si="0"/>
        <v>16</v>
      </c>
      <c r="C41" s="41">
        <f t="shared" si="0"/>
        <v>2036</v>
      </c>
      <c r="D41" s="61">
        <f t="shared" si="5"/>
        <v>415717.1379425002</v>
      </c>
      <c r="E41" s="43">
        <f t="shared" si="1"/>
        <v>42404.11692</v>
      </c>
      <c r="F41" s="43">
        <f t="shared" si="2"/>
        <v>90618</v>
      </c>
      <c r="G41" s="43">
        <f t="shared" si="6"/>
        <v>20570.618952999997</v>
      </c>
      <c r="H41" s="43">
        <f t="shared" si="8"/>
        <v>41141.237905999995</v>
      </c>
      <c r="I41" s="47"/>
      <c r="J41" s="50"/>
      <c r="K41" s="43">
        <f t="shared" si="3"/>
        <v>4680</v>
      </c>
      <c r="L41" s="44">
        <f t="shared" si="4"/>
        <v>15600</v>
      </c>
      <c r="M41" s="43">
        <v>0</v>
      </c>
      <c r="N41" s="43">
        <f>D41-M41</f>
        <v>415717.1379425002</v>
      </c>
      <c r="O41" s="50"/>
      <c r="S41" s="7"/>
      <c r="T41" s="16"/>
      <c r="U41" s="13"/>
      <c r="V41"/>
    </row>
    <row r="42" spans="2:22" s="6" customFormat="1" ht="15">
      <c r="B42" s="50">
        <f t="shared" si="0"/>
        <v>17</v>
      </c>
      <c r="C42" s="41">
        <f t="shared" si="0"/>
        <v>2037</v>
      </c>
      <c r="D42" s="61">
        <f t="shared" si="5"/>
        <v>348062.4020695002</v>
      </c>
      <c r="E42" s="43">
        <f t="shared" si="1"/>
        <v>42404.11692</v>
      </c>
      <c r="F42" s="43">
        <f t="shared" si="2"/>
        <v>90618</v>
      </c>
      <c r="G42" s="43">
        <f t="shared" si="6"/>
        <v>20570.618952999997</v>
      </c>
      <c r="H42" s="43">
        <f t="shared" si="8"/>
        <v>41141.237905999995</v>
      </c>
      <c r="I42" s="47"/>
      <c r="J42" s="50"/>
      <c r="K42" s="43">
        <f t="shared" si="3"/>
        <v>4680</v>
      </c>
      <c r="L42" s="44">
        <f t="shared" si="4"/>
        <v>15600</v>
      </c>
      <c r="M42" s="43">
        <v>0</v>
      </c>
      <c r="N42" s="43">
        <f>D42-M42</f>
        <v>348062.4020695002</v>
      </c>
      <c r="O42" s="50"/>
      <c r="S42" s="7"/>
      <c r="T42" s="16"/>
      <c r="U42" s="13"/>
      <c r="V42"/>
    </row>
    <row r="43" spans="2:22" s="6" customFormat="1" ht="15">
      <c r="B43" s="50">
        <f t="shared" si="0"/>
        <v>18</v>
      </c>
      <c r="C43" s="41">
        <f t="shared" si="0"/>
        <v>2038</v>
      </c>
      <c r="D43" s="61">
        <f t="shared" si="5"/>
        <v>297837.12183649995</v>
      </c>
      <c r="E43" s="43">
        <f>G11+G12+G13+G14+G17+G18-SUM(E26:E42)</f>
        <v>24974.661280000233</v>
      </c>
      <c r="F43" s="43">
        <f>F11+F12+F13+F14+F17+F18-SUM(F26:F42)</f>
        <v>37757.5</v>
      </c>
      <c r="G43" s="43">
        <f t="shared" si="6"/>
        <v>20570.618952999997</v>
      </c>
      <c r="H43" s="43">
        <f t="shared" si="8"/>
        <v>41141.237905999995</v>
      </c>
      <c r="I43" s="47"/>
      <c r="J43" s="50"/>
      <c r="K43" s="43">
        <f t="shared" si="3"/>
        <v>4680</v>
      </c>
      <c r="L43" s="44">
        <f t="shared" si="4"/>
        <v>15600</v>
      </c>
      <c r="M43" s="43">
        <v>0</v>
      </c>
      <c r="N43" s="43">
        <f>D43-M43</f>
        <v>297837.12183649995</v>
      </c>
      <c r="O43" s="50"/>
      <c r="S43" s="7"/>
      <c r="T43" s="16"/>
      <c r="U43" s="13"/>
      <c r="V43"/>
    </row>
    <row r="44" spans="2:22" s="6" customFormat="1" ht="15">
      <c r="B44" s="50">
        <f aca="true" t="shared" si="9" ref="B44:C48">B43+1</f>
        <v>19</v>
      </c>
      <c r="C44" s="41">
        <f t="shared" si="9"/>
        <v>2039</v>
      </c>
      <c r="D44" s="61">
        <f t="shared" si="5"/>
        <v>272586.50288349995</v>
      </c>
      <c r="E44" s="15"/>
      <c r="F44" s="50"/>
      <c r="G44" s="43">
        <f t="shared" si="6"/>
        <v>20570.618952999997</v>
      </c>
      <c r="H44" s="43">
        <f t="shared" si="8"/>
        <v>41141.237905999995</v>
      </c>
      <c r="I44" s="47"/>
      <c r="J44" s="50"/>
      <c r="K44" s="43">
        <f t="shared" si="3"/>
        <v>4680</v>
      </c>
      <c r="L44" s="44">
        <f t="shared" si="4"/>
        <v>15600</v>
      </c>
      <c r="M44" s="50"/>
      <c r="N44" s="43">
        <f>D44-M44</f>
        <v>272586.50288349995</v>
      </c>
      <c r="O44" s="50"/>
      <c r="P44" s="46"/>
      <c r="Q44" s="46"/>
      <c r="S44" s="7"/>
      <c r="T44" s="16"/>
      <c r="U44" s="13"/>
      <c r="V44"/>
    </row>
    <row r="45" spans="2:22" s="6" customFormat="1" ht="15">
      <c r="B45" s="50">
        <f t="shared" si="9"/>
        <v>20</v>
      </c>
      <c r="C45" s="41">
        <f t="shared" si="9"/>
        <v>2040</v>
      </c>
      <c r="D45" s="61">
        <f t="shared" si="5"/>
        <v>247335.88393049996</v>
      </c>
      <c r="E45" s="50"/>
      <c r="F45" s="50"/>
      <c r="G45" s="43">
        <f t="shared" si="6"/>
        <v>20570.618952999997</v>
      </c>
      <c r="H45" s="43">
        <f t="shared" si="8"/>
        <v>41141.237905999995</v>
      </c>
      <c r="I45" s="47"/>
      <c r="J45" s="50"/>
      <c r="K45" s="43">
        <f t="shared" si="3"/>
        <v>4680</v>
      </c>
      <c r="L45" s="44">
        <f t="shared" si="4"/>
        <v>15600</v>
      </c>
      <c r="M45" s="50"/>
      <c r="N45" s="43">
        <f>D45-M45</f>
        <v>247335.88393049996</v>
      </c>
      <c r="O45" s="50"/>
      <c r="P45" s="46"/>
      <c r="Q45" s="46"/>
      <c r="S45" s="7"/>
      <c r="T45" s="16"/>
      <c r="U45" s="13"/>
      <c r="V45"/>
    </row>
    <row r="46" spans="2:17" ht="15">
      <c r="B46" s="50">
        <f t="shared" si="9"/>
        <v>21</v>
      </c>
      <c r="C46" s="41">
        <f t="shared" si="9"/>
        <v>2041</v>
      </c>
      <c r="D46" s="61">
        <f t="shared" si="5"/>
        <v>222085.26497749996</v>
      </c>
      <c r="G46" s="43">
        <f t="shared" si="6"/>
        <v>20570.618952999997</v>
      </c>
      <c r="H46" s="43">
        <f t="shared" si="8"/>
        <v>41141.237905999995</v>
      </c>
      <c r="K46" s="43">
        <f t="shared" si="3"/>
        <v>4680</v>
      </c>
      <c r="L46" s="44">
        <f t="shared" si="4"/>
        <v>15600</v>
      </c>
      <c r="N46" s="43">
        <f>D46-M46</f>
        <v>222085.26497749996</v>
      </c>
      <c r="O46" s="50"/>
      <c r="P46" s="46"/>
      <c r="Q46" s="46"/>
    </row>
    <row r="47" spans="2:17" ht="15">
      <c r="B47" s="50">
        <f t="shared" si="9"/>
        <v>22</v>
      </c>
      <c r="C47" s="41">
        <f t="shared" si="9"/>
        <v>2042</v>
      </c>
      <c r="D47" s="61">
        <f t="shared" si="5"/>
        <v>196834.64602449996</v>
      </c>
      <c r="G47" s="43">
        <f t="shared" si="6"/>
        <v>20570.618952999997</v>
      </c>
      <c r="H47" s="43">
        <f t="shared" si="8"/>
        <v>41141.237905999995</v>
      </c>
      <c r="K47" s="43">
        <f t="shared" si="3"/>
        <v>4680</v>
      </c>
      <c r="L47" s="44">
        <f t="shared" si="4"/>
        <v>15600</v>
      </c>
      <c r="N47" s="43">
        <f>D47-M47</f>
        <v>196834.64602449996</v>
      </c>
      <c r="O47" s="50"/>
      <c r="P47" s="46"/>
      <c r="Q47" s="46"/>
    </row>
    <row r="48" spans="2:17" ht="15">
      <c r="B48" s="50">
        <f t="shared" si="9"/>
        <v>23</v>
      </c>
      <c r="C48" s="41">
        <f t="shared" si="9"/>
        <v>2043</v>
      </c>
      <c r="D48" s="61">
        <f t="shared" si="5"/>
        <v>171584.02707149996</v>
      </c>
      <c r="G48" s="43">
        <f t="shared" si="6"/>
        <v>20570.618952999997</v>
      </c>
      <c r="H48" s="43">
        <f t="shared" si="8"/>
        <v>41141.237905999995</v>
      </c>
      <c r="K48" s="43">
        <f t="shared" si="3"/>
        <v>4680</v>
      </c>
      <c r="L48" s="44">
        <f t="shared" si="4"/>
        <v>15600</v>
      </c>
      <c r="N48" s="43">
        <f>D48-M48</f>
        <v>171584.02707149996</v>
      </c>
      <c r="O48" s="50"/>
      <c r="P48" s="46"/>
      <c r="Q48" s="46"/>
    </row>
    <row r="49" spans="2:17" ht="15">
      <c r="B49" s="50">
        <f aca="true" t="shared" si="10" ref="B49:B56">B48+1</f>
        <v>24</v>
      </c>
      <c r="C49" s="41">
        <f aca="true" t="shared" si="11" ref="C49:C56">C48+1</f>
        <v>2044</v>
      </c>
      <c r="D49" s="61">
        <f t="shared" si="5"/>
        <v>146333.40811849997</v>
      </c>
      <c r="G49" s="43">
        <f t="shared" si="6"/>
        <v>20570.618952999997</v>
      </c>
      <c r="H49" s="43">
        <f t="shared" si="8"/>
        <v>41141.237905999995</v>
      </c>
      <c r="K49" s="43">
        <f t="shared" si="3"/>
        <v>4680</v>
      </c>
      <c r="L49" s="44">
        <f t="shared" si="4"/>
        <v>15600</v>
      </c>
      <c r="N49" s="43">
        <f>D49-M49</f>
        <v>146333.40811849997</v>
      </c>
      <c r="O49" s="50"/>
      <c r="P49" s="46"/>
      <c r="Q49" s="46"/>
    </row>
    <row r="50" spans="2:17" ht="15">
      <c r="B50" s="50">
        <f t="shared" si="10"/>
        <v>25</v>
      </c>
      <c r="C50" s="41">
        <f t="shared" si="11"/>
        <v>2045</v>
      </c>
      <c r="D50" s="61">
        <f t="shared" si="5"/>
        <v>121082.78916549997</v>
      </c>
      <c r="G50" s="43">
        <f t="shared" si="6"/>
        <v>20570.618952999997</v>
      </c>
      <c r="H50" s="43">
        <f t="shared" si="8"/>
        <v>41141.237905999995</v>
      </c>
      <c r="K50" s="43">
        <f t="shared" si="3"/>
        <v>4680</v>
      </c>
      <c r="L50" s="44">
        <f t="shared" si="4"/>
        <v>15600</v>
      </c>
      <c r="N50" s="43">
        <f>D50-M50</f>
        <v>121082.78916549997</v>
      </c>
      <c r="O50" s="50"/>
      <c r="P50" s="46"/>
      <c r="Q50" s="46"/>
    </row>
    <row r="51" spans="2:17" ht="15">
      <c r="B51" s="50">
        <f t="shared" si="10"/>
        <v>26</v>
      </c>
      <c r="C51" s="41">
        <f t="shared" si="11"/>
        <v>2046</v>
      </c>
      <c r="D51" s="61">
        <f t="shared" si="5"/>
        <v>97002.17021249997</v>
      </c>
      <c r="G51" s="43">
        <f t="shared" si="6"/>
        <v>20570.618952999997</v>
      </c>
      <c r="H51" s="43">
        <f t="shared" si="8"/>
        <v>41141.237905999995</v>
      </c>
      <c r="K51" s="43">
        <f>G19-SUM(K26:K50)</f>
        <v>3510</v>
      </c>
      <c r="L51" s="44">
        <f>F19-SUM(L26:L50)</f>
        <v>11700</v>
      </c>
      <c r="N51" s="43">
        <f>D51-M51</f>
        <v>97002.17021249997</v>
      </c>
      <c r="O51" s="50"/>
      <c r="P51" s="46"/>
      <c r="Q51" s="46"/>
    </row>
    <row r="52" spans="2:17" ht="15">
      <c r="B52" s="50">
        <f t="shared" si="10"/>
        <v>27</v>
      </c>
      <c r="C52" s="41">
        <f t="shared" si="11"/>
        <v>2047</v>
      </c>
      <c r="D52" s="61">
        <f t="shared" si="5"/>
        <v>76431.55125949997</v>
      </c>
      <c r="G52" s="43">
        <f t="shared" si="6"/>
        <v>20570.618952999997</v>
      </c>
      <c r="H52" s="43">
        <f t="shared" si="8"/>
        <v>41141.237905999995</v>
      </c>
      <c r="N52" s="43">
        <f>D52-M52</f>
        <v>76431.55125949997</v>
      </c>
      <c r="O52" s="50"/>
      <c r="P52" s="46"/>
      <c r="Q52" s="46"/>
    </row>
    <row r="53" spans="2:17" ht="15">
      <c r="B53" s="50">
        <f t="shared" si="10"/>
        <v>28</v>
      </c>
      <c r="C53" s="41">
        <f t="shared" si="11"/>
        <v>2048</v>
      </c>
      <c r="D53" s="61">
        <f t="shared" si="5"/>
        <v>55860.93230649998</v>
      </c>
      <c r="G53" s="43">
        <f t="shared" si="6"/>
        <v>20570.618952999997</v>
      </c>
      <c r="H53" s="43">
        <f t="shared" si="8"/>
        <v>41141.237905999995</v>
      </c>
      <c r="N53" s="43">
        <f>D53-M53</f>
        <v>55860.93230649998</v>
      </c>
      <c r="O53" s="50"/>
      <c r="P53" s="46"/>
      <c r="Q53" s="46"/>
    </row>
    <row r="54" spans="2:17" ht="15">
      <c r="B54" s="50">
        <f t="shared" si="10"/>
        <v>29</v>
      </c>
      <c r="C54" s="41">
        <f t="shared" si="11"/>
        <v>2049</v>
      </c>
      <c r="D54" s="61">
        <f t="shared" si="5"/>
        <v>35290.31335349998</v>
      </c>
      <c r="G54" s="43">
        <f t="shared" si="6"/>
        <v>20570.618952999997</v>
      </c>
      <c r="H54" s="43">
        <f t="shared" si="8"/>
        <v>41141.237905999995</v>
      </c>
      <c r="N54" s="43">
        <f>D54-M54</f>
        <v>35290.31335349998</v>
      </c>
      <c r="O54" s="50"/>
      <c r="P54" s="46"/>
      <c r="Q54" s="46"/>
    </row>
    <row r="55" spans="2:17" ht="15">
      <c r="B55" s="50">
        <f t="shared" si="10"/>
        <v>30</v>
      </c>
      <c r="C55" s="41">
        <f t="shared" si="11"/>
        <v>2050</v>
      </c>
      <c r="D55" s="61">
        <f t="shared" si="5"/>
        <v>14719.694400499982</v>
      </c>
      <c r="G55" s="43">
        <f t="shared" si="6"/>
        <v>20570.618952999997</v>
      </c>
      <c r="H55" s="43">
        <f t="shared" si="8"/>
        <v>41141.237905999995</v>
      </c>
      <c r="N55" s="43">
        <f>D55-M55</f>
        <v>14719.694400499982</v>
      </c>
      <c r="O55" s="50"/>
      <c r="P55" s="46"/>
      <c r="Q55" s="46"/>
    </row>
    <row r="56" spans="2:17" ht="15">
      <c r="B56" s="50">
        <f t="shared" si="10"/>
        <v>31</v>
      </c>
      <c r="C56" s="41">
        <f t="shared" si="11"/>
        <v>2051</v>
      </c>
      <c r="D56" s="61">
        <f t="shared" si="5"/>
        <v>1.7462298274040222E-10</v>
      </c>
      <c r="G56" s="43">
        <f>G15+G16-SUM(G26:G55)</f>
        <v>14719.694400499808</v>
      </c>
      <c r="H56" s="43">
        <f>F15+F16-SUM(H26:H55)</f>
        <v>29439.388800999615</v>
      </c>
      <c r="N56" s="43">
        <f>D56-M56</f>
        <v>1.7462298274040222E-10</v>
      </c>
      <c r="O56" s="50"/>
      <c r="P56" s="46"/>
      <c r="Q56" s="46"/>
    </row>
    <row r="57" spans="15:17" ht="15">
      <c r="O57" s="50"/>
      <c r="P57" s="46"/>
      <c r="Q57" s="46"/>
    </row>
    <row r="58" spans="15:17" ht="15">
      <c r="O58" s="50"/>
      <c r="P58" s="46"/>
      <c r="Q58" s="46"/>
    </row>
    <row r="59" spans="15:17" ht="15">
      <c r="O59" s="50"/>
      <c r="P59" s="46"/>
      <c r="Q59" s="46"/>
    </row>
    <row r="60" spans="15:17" ht="15">
      <c r="O60" s="50"/>
      <c r="P60" s="46"/>
      <c r="Q60" s="46"/>
    </row>
    <row r="61" spans="15:17" ht="15">
      <c r="O61" s="50"/>
      <c r="P61" s="46"/>
      <c r="Q61" s="46"/>
    </row>
    <row r="62" spans="15:17" ht="15">
      <c r="O62" s="50"/>
      <c r="P62" s="46"/>
      <c r="Q62" s="46"/>
    </row>
    <row r="63" spans="15:17" ht="15">
      <c r="O63" s="50"/>
      <c r="P63" s="46"/>
      <c r="Q63" s="46"/>
    </row>
    <row r="64" spans="15:17" ht="15">
      <c r="O64" s="50"/>
      <c r="P64" s="46"/>
      <c r="Q64" s="46"/>
    </row>
    <row r="65" spans="15:17" ht="15">
      <c r="O65" s="50"/>
      <c r="P65" s="46"/>
      <c r="Q65" s="46"/>
    </row>
    <row r="66" spans="15:17" ht="15">
      <c r="O66" s="50"/>
      <c r="P66" s="46"/>
      <c r="Q66" s="46"/>
    </row>
    <row r="67" spans="15:17" ht="15">
      <c r="O67" s="50"/>
      <c r="P67" s="46"/>
      <c r="Q67" s="46"/>
    </row>
    <row r="68" spans="15:17" ht="15">
      <c r="O68" s="50"/>
      <c r="P68" s="46"/>
      <c r="Q68" s="46"/>
    </row>
    <row r="69" spans="15:17" ht="15">
      <c r="O69" s="50"/>
      <c r="P69" s="46"/>
      <c r="Q69" s="46"/>
    </row>
    <row r="70" spans="15:17" ht="15">
      <c r="O70" s="50"/>
      <c r="P70" s="46"/>
      <c r="Q70" s="46"/>
    </row>
    <row r="71" spans="15:17" ht="15">
      <c r="O71" s="50"/>
      <c r="P71" s="46"/>
      <c r="Q71" s="46"/>
    </row>
    <row r="72" spans="15:17" ht="15">
      <c r="O72" s="50"/>
      <c r="P72" s="46"/>
      <c r="Q72" s="46"/>
    </row>
    <row r="73" spans="15:17" ht="15">
      <c r="O73" s="50"/>
      <c r="P73" s="46"/>
      <c r="Q73" s="46"/>
    </row>
    <row r="74" spans="15:17" ht="15">
      <c r="O74" s="50"/>
      <c r="P74" s="46"/>
      <c r="Q74" s="46"/>
    </row>
    <row r="75" spans="15:17" ht="15">
      <c r="O75" s="50"/>
      <c r="P75" s="46"/>
      <c r="Q75" s="46"/>
    </row>
    <row r="76" spans="15:17" ht="15">
      <c r="O76" s="50"/>
      <c r="P76" s="46"/>
      <c r="Q76" s="46"/>
    </row>
    <row r="77" spans="15:17" ht="15">
      <c r="O77" s="50"/>
      <c r="P77" s="46"/>
      <c r="Q77" s="46"/>
    </row>
    <row r="78" spans="15:17" ht="15">
      <c r="O78" s="50"/>
      <c r="P78" s="46"/>
      <c r="Q78" s="46"/>
    </row>
    <row r="79" spans="15:17" ht="15">
      <c r="O79" s="50"/>
      <c r="P79" s="46"/>
      <c r="Q79" s="46"/>
    </row>
    <row r="80" spans="15:17" ht="15">
      <c r="O80" s="50"/>
      <c r="P80" s="46"/>
      <c r="Q80" s="46"/>
    </row>
    <row r="81" spans="15:17" ht="15">
      <c r="O81" s="50"/>
      <c r="P81" s="46"/>
      <c r="Q81" s="46"/>
    </row>
    <row r="82" spans="15:17" ht="15">
      <c r="O82" s="50"/>
      <c r="P82" s="46"/>
      <c r="Q82" s="46"/>
    </row>
    <row r="83" spans="15:17" ht="15">
      <c r="O83" s="50"/>
      <c r="P83" s="46"/>
      <c r="Q83" s="46"/>
    </row>
    <row r="84" spans="15:17" ht="15">
      <c r="O84" s="50"/>
      <c r="P84" s="46"/>
      <c r="Q84" s="46"/>
    </row>
    <row r="85" spans="15:17" ht="15">
      <c r="O85" s="50"/>
      <c r="P85" s="46"/>
      <c r="Q85" s="46"/>
    </row>
    <row r="86" spans="15:17" ht="15">
      <c r="O86" s="50"/>
      <c r="P86" s="46"/>
      <c r="Q86" s="46"/>
    </row>
    <row r="87" spans="15:17" ht="15">
      <c r="O87" s="50"/>
      <c r="P87" s="46"/>
      <c r="Q87" s="46"/>
    </row>
    <row r="88" spans="15:17" ht="15">
      <c r="O88" s="50"/>
      <c r="P88" s="46"/>
      <c r="Q88" s="46"/>
    </row>
    <row r="89" spans="15:17" ht="15">
      <c r="O89" s="50"/>
      <c r="P89" s="46"/>
      <c r="Q89" s="46"/>
    </row>
    <row r="90" spans="15:17" ht="15">
      <c r="O90" s="50"/>
      <c r="P90" s="46"/>
      <c r="Q90" s="46"/>
    </row>
    <row r="91" spans="15:17" ht="15">
      <c r="O91" s="50"/>
      <c r="P91" s="46"/>
      <c r="Q91" s="46"/>
    </row>
    <row r="92" spans="15:17" ht="15">
      <c r="O92" s="50"/>
      <c r="P92" s="46"/>
      <c r="Q92" s="46"/>
    </row>
    <row r="93" spans="15:17" ht="15">
      <c r="O93" s="50"/>
      <c r="P93" s="46"/>
      <c r="Q93" s="46"/>
    </row>
    <row r="94" spans="15:17" ht="15">
      <c r="O94" s="50"/>
      <c r="P94" s="46"/>
      <c r="Q94" s="46"/>
    </row>
    <row r="95" spans="15:17" ht="15">
      <c r="O95" s="50"/>
      <c r="P95" s="46"/>
      <c r="Q95" s="46"/>
    </row>
    <row r="96" spans="15:17" ht="15">
      <c r="O96" s="50"/>
      <c r="P96" s="46"/>
      <c r="Q96" s="46"/>
    </row>
    <row r="97" spans="15:17" ht="15">
      <c r="O97" s="50"/>
      <c r="P97" s="46"/>
      <c r="Q97" s="46"/>
    </row>
    <row r="98" spans="15:17" ht="15">
      <c r="O98" s="50"/>
      <c r="P98" s="46"/>
      <c r="Q98" s="46"/>
    </row>
    <row r="99" spans="15:17" ht="15">
      <c r="O99" s="50"/>
      <c r="P99" s="46"/>
      <c r="Q99" s="46"/>
    </row>
    <row r="100" spans="15:17" ht="15">
      <c r="O100" s="50"/>
      <c r="P100" s="46"/>
      <c r="Q100" s="46"/>
    </row>
    <row r="101" spans="15:17" ht="15">
      <c r="O101" s="50"/>
      <c r="P101" s="46"/>
      <c r="Q101" s="46"/>
    </row>
    <row r="102" spans="15:17" ht="15">
      <c r="O102" s="50"/>
      <c r="P102" s="46"/>
      <c r="Q102" s="46"/>
    </row>
    <row r="103" spans="15:17" ht="15">
      <c r="O103" s="50"/>
      <c r="P103" s="46"/>
      <c r="Q103" s="46"/>
    </row>
    <row r="104" spans="15:17" ht="15">
      <c r="O104" s="50"/>
      <c r="P104" s="46"/>
      <c r="Q104" s="46"/>
    </row>
    <row r="105" spans="15:17" ht="15">
      <c r="O105" s="50"/>
      <c r="P105" s="46"/>
      <c r="Q105" s="46"/>
    </row>
    <row r="106" spans="15:17" ht="15">
      <c r="O106" s="50"/>
      <c r="P106" s="46"/>
      <c r="Q106" s="46"/>
    </row>
    <row r="107" spans="15:17" ht="15">
      <c r="O107" s="50"/>
      <c r="P107" s="46"/>
      <c r="Q107" s="46"/>
    </row>
    <row r="108" spans="15:17" ht="15">
      <c r="O108" s="50"/>
      <c r="P108" s="46"/>
      <c r="Q108" s="46"/>
    </row>
    <row r="109" spans="15:17" ht="15">
      <c r="O109" s="50"/>
      <c r="P109" s="46"/>
      <c r="Q109" s="46"/>
    </row>
    <row r="110" spans="15:17" ht="15">
      <c r="O110" s="50"/>
      <c r="P110" s="46"/>
      <c r="Q110" s="46"/>
    </row>
    <row r="111" spans="15:17" ht="15">
      <c r="O111" s="50"/>
      <c r="P111" s="46"/>
      <c r="Q111" s="46"/>
    </row>
    <row r="112" spans="15:17" ht="15">
      <c r="O112" s="50"/>
      <c r="P112" s="46"/>
      <c r="Q112" s="46"/>
    </row>
    <row r="113" spans="15:17" ht="15">
      <c r="O113" s="50"/>
      <c r="P113" s="46"/>
      <c r="Q113" s="46"/>
    </row>
    <row r="114" spans="15:17" ht="15">
      <c r="O114" s="50"/>
      <c r="P114" s="46"/>
      <c r="Q114" s="46"/>
    </row>
    <row r="115" spans="15:17" ht="15">
      <c r="O115" s="50"/>
      <c r="P115" s="46"/>
      <c r="Q115" s="46"/>
    </row>
    <row r="116" spans="15:17" ht="15">
      <c r="O116" s="50"/>
      <c r="P116" s="46"/>
      <c r="Q116" s="46"/>
    </row>
    <row r="117" spans="15:17" ht="15">
      <c r="O117" s="50"/>
      <c r="P117" s="46"/>
      <c r="Q117" s="46"/>
    </row>
    <row r="118" spans="15:17" ht="15">
      <c r="O118" s="50"/>
      <c r="P118" s="46"/>
      <c r="Q118" s="46"/>
    </row>
    <row r="119" spans="15:17" ht="15">
      <c r="O119" s="50"/>
      <c r="P119" s="46"/>
      <c r="Q119" s="46"/>
    </row>
    <row r="120" spans="15:17" ht="15">
      <c r="O120" s="50"/>
      <c r="P120" s="46"/>
      <c r="Q120" s="46"/>
    </row>
    <row r="121" spans="15:17" ht="15">
      <c r="O121" s="50"/>
      <c r="P121" s="46"/>
      <c r="Q121" s="46"/>
    </row>
    <row r="122" spans="15:17" ht="15">
      <c r="O122" s="50"/>
      <c r="P122" s="46"/>
      <c r="Q122" s="46"/>
    </row>
    <row r="123" spans="15:17" ht="15">
      <c r="O123" s="50"/>
      <c r="P123" s="46"/>
      <c r="Q123" s="46"/>
    </row>
    <row r="124" spans="15:17" ht="15">
      <c r="O124" s="50"/>
      <c r="P124" s="46"/>
      <c r="Q124" s="46"/>
    </row>
    <row r="125" spans="15:17" ht="15">
      <c r="O125" s="50"/>
      <c r="P125" s="46"/>
      <c r="Q125" s="46"/>
    </row>
    <row r="126" spans="15:17" ht="15">
      <c r="O126" s="50"/>
      <c r="P126" s="46"/>
      <c r="Q126" s="46"/>
    </row>
    <row r="127" spans="15:17" ht="15">
      <c r="O127" s="50"/>
      <c r="P127" s="46"/>
      <c r="Q127" s="46"/>
    </row>
    <row r="128" spans="15:17" ht="15">
      <c r="O128" s="50"/>
      <c r="P128" s="46"/>
      <c r="Q128" s="46"/>
    </row>
    <row r="129" spans="15:17" ht="15">
      <c r="O129" s="50"/>
      <c r="P129" s="46"/>
      <c r="Q129" s="46"/>
    </row>
    <row r="130" spans="15:17" ht="15">
      <c r="O130" s="50"/>
      <c r="P130" s="46"/>
      <c r="Q130" s="46"/>
    </row>
    <row r="131" spans="15:17" ht="15">
      <c r="O131" s="50"/>
      <c r="P131" s="46"/>
      <c r="Q131" s="46"/>
    </row>
    <row r="132" spans="15:17" ht="15">
      <c r="O132" s="50"/>
      <c r="P132" s="46"/>
      <c r="Q132" s="46"/>
    </row>
    <row r="133" spans="15:17" ht="15">
      <c r="O133" s="50"/>
      <c r="P133" s="46"/>
      <c r="Q133" s="46"/>
    </row>
    <row r="134" spans="15:17" ht="15">
      <c r="O134" s="50"/>
      <c r="P134" s="46"/>
      <c r="Q134" s="46"/>
    </row>
    <row r="135" spans="15:17" ht="15">
      <c r="O135" s="50"/>
      <c r="P135" s="46"/>
      <c r="Q135" s="46"/>
    </row>
    <row r="136" spans="15:17" ht="15">
      <c r="O136" s="50"/>
      <c r="P136" s="46"/>
      <c r="Q136" s="46"/>
    </row>
    <row r="137" spans="15:17" ht="15">
      <c r="O137" s="50"/>
      <c r="P137" s="46"/>
      <c r="Q137" s="46"/>
    </row>
    <row r="138" spans="15:17" ht="15">
      <c r="O138" s="50"/>
      <c r="P138" s="46"/>
      <c r="Q138" s="46"/>
    </row>
    <row r="139" spans="15:17" ht="15">
      <c r="O139" s="50"/>
      <c r="P139" s="46"/>
      <c r="Q139" s="46"/>
    </row>
    <row r="140" spans="15:17" ht="15">
      <c r="O140" s="50"/>
      <c r="P140" s="46"/>
      <c r="Q140" s="46"/>
    </row>
    <row r="141" spans="15:17" ht="15">
      <c r="O141" s="50"/>
      <c r="P141" s="46"/>
      <c r="Q141" s="46"/>
    </row>
    <row r="142" spans="15:17" ht="15">
      <c r="O142" s="50"/>
      <c r="P142" s="46"/>
      <c r="Q142" s="46"/>
    </row>
    <row r="143" spans="15:17" ht="15">
      <c r="O143" s="50"/>
      <c r="P143" s="46"/>
      <c r="Q143" s="46"/>
    </row>
    <row r="144" spans="15:17" ht="15">
      <c r="O144" s="50"/>
      <c r="P144" s="46"/>
      <c r="Q144" s="46"/>
    </row>
    <row r="145" spans="15:17" ht="15">
      <c r="O145" s="50"/>
      <c r="P145" s="46"/>
      <c r="Q145" s="46"/>
    </row>
    <row r="146" spans="15:17" ht="15">
      <c r="O146" s="50"/>
      <c r="P146" s="46"/>
      <c r="Q146" s="46"/>
    </row>
    <row r="147" spans="15:17" ht="15">
      <c r="O147" s="50"/>
      <c r="P147" s="46"/>
      <c r="Q147" s="46"/>
    </row>
    <row r="148" spans="15:17" ht="15">
      <c r="O148" s="50"/>
      <c r="P148" s="46"/>
      <c r="Q148" s="46"/>
    </row>
    <row r="149" spans="15:17" ht="15">
      <c r="O149" s="50"/>
      <c r="P149" s="46"/>
      <c r="Q149" s="46"/>
    </row>
    <row r="150" spans="15:17" ht="15">
      <c r="O150" s="50"/>
      <c r="P150" s="46"/>
      <c r="Q150" s="46"/>
    </row>
    <row r="151" spans="15:17" ht="15">
      <c r="O151" s="50"/>
      <c r="P151" s="46"/>
      <c r="Q151" s="46"/>
    </row>
    <row r="152" spans="15:17" ht="15">
      <c r="O152" s="50"/>
      <c r="P152" s="46"/>
      <c r="Q152" s="46"/>
    </row>
    <row r="153" spans="15:17" ht="15">
      <c r="O153" s="50"/>
      <c r="P153" s="46"/>
      <c r="Q153" s="46"/>
    </row>
    <row r="154" spans="15:17" ht="15">
      <c r="O154" s="50"/>
      <c r="P154" s="46"/>
      <c r="Q154" s="46"/>
    </row>
    <row r="155" spans="15:17" ht="15">
      <c r="O155" s="50"/>
      <c r="P155" s="46"/>
      <c r="Q155" s="46"/>
    </row>
    <row r="156" spans="15:17" ht="15">
      <c r="O156" s="50"/>
      <c r="P156" s="46"/>
      <c r="Q156" s="46"/>
    </row>
    <row r="157" spans="15:17" ht="15">
      <c r="O157" s="50"/>
      <c r="P157" s="46"/>
      <c r="Q157" s="46"/>
    </row>
    <row r="158" spans="15:17" ht="15">
      <c r="O158" s="50"/>
      <c r="P158" s="46"/>
      <c r="Q158" s="46"/>
    </row>
    <row r="159" spans="15:17" ht="15">
      <c r="O159" s="50"/>
      <c r="P159" s="46"/>
      <c r="Q159" s="46"/>
    </row>
    <row r="160" spans="15:17" ht="15">
      <c r="O160" s="50"/>
      <c r="P160" s="46"/>
      <c r="Q160" s="46"/>
    </row>
    <row r="161" spans="15:17" ht="15">
      <c r="O161" s="50"/>
      <c r="P161" s="46"/>
      <c r="Q161" s="46"/>
    </row>
    <row r="162" spans="15:17" ht="15">
      <c r="O162" s="50"/>
      <c r="P162" s="46"/>
      <c r="Q162" s="46"/>
    </row>
    <row r="163" spans="15:17" ht="15">
      <c r="O163" s="50"/>
      <c r="P163" s="46"/>
      <c r="Q163" s="46"/>
    </row>
    <row r="164" spans="15:17" ht="15">
      <c r="O164" s="50"/>
      <c r="P164" s="46"/>
      <c r="Q164" s="46"/>
    </row>
    <row r="165" spans="15:17" ht="15">
      <c r="O165" s="50"/>
      <c r="P165" s="46"/>
      <c r="Q165" s="46"/>
    </row>
    <row r="166" spans="15:17" ht="15">
      <c r="O166" s="50"/>
      <c r="P166" s="46"/>
      <c r="Q166" s="46"/>
    </row>
    <row r="167" spans="15:17" ht="15">
      <c r="O167" s="50"/>
      <c r="P167" s="46"/>
      <c r="Q167" s="46"/>
    </row>
    <row r="168" spans="15:17" ht="15">
      <c r="O168" s="50"/>
      <c r="P168" s="46"/>
      <c r="Q168" s="46"/>
    </row>
    <row r="169" spans="15:17" ht="15">
      <c r="O169" s="50"/>
      <c r="P169" s="46"/>
      <c r="Q169" s="46"/>
    </row>
    <row r="170" spans="15:17" ht="15">
      <c r="O170" s="50"/>
      <c r="P170" s="46"/>
      <c r="Q170" s="46"/>
    </row>
    <row r="171" spans="15:17" ht="15">
      <c r="O171" s="50"/>
      <c r="P171" s="46"/>
      <c r="Q171" s="46"/>
    </row>
  </sheetData>
  <sheetProtection/>
  <autoFilter ref="H9:H2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Sacchetto</dc:creator>
  <cp:keywords/>
  <dc:description/>
  <cp:lastModifiedBy>Carla De Luca</cp:lastModifiedBy>
  <cp:lastPrinted>2020-11-18T08:08:30Z</cp:lastPrinted>
  <dcterms:created xsi:type="dcterms:W3CDTF">2020-11-04T16:06:55Z</dcterms:created>
  <dcterms:modified xsi:type="dcterms:W3CDTF">2020-12-10T21:37:55Z</dcterms:modified>
  <cp:category/>
  <cp:version/>
  <cp:contentType/>
  <cp:contentStatus/>
</cp:coreProperties>
</file>